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heets/sheet1.xml" ContentType="application/vnd.openxmlformats-officedocument.spreadsheetml.chart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ables/table2.xml" ContentType="application/vnd.openxmlformats-officedocument.spreadsheetml.table+xml"/>
  <Override PartName="/xl/queryTables/queryTable1.xml" ContentType="application/vnd.openxmlformats-officedocument.spreadsheetml.queryTable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8.xml" ContentType="application/vnd.openxmlformats-officedocument.drawing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drawings/drawing9.xml" ContentType="application/vnd.openxmlformats-officedocument.drawing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29"/>
  <workbookPr/>
  <mc:AlternateContent xmlns:mc="http://schemas.openxmlformats.org/markup-compatibility/2006">
    <mc:Choice Requires="x15">
      <x15ac:absPath xmlns:x15ac="http://schemas.microsoft.com/office/spreadsheetml/2010/11/ac" url="\\192.168.1.31\Compartida\Publico\laboratorio\Documentos Analistas\Lorena Ruiz\"/>
    </mc:Choice>
  </mc:AlternateContent>
  <xr:revisionPtr revIDLastSave="0" documentId="13_ncr:1_{6BF2D8C3-A775-4E2F-BBF5-531FBBE466CF}" xr6:coauthVersionLast="46" xr6:coauthVersionMax="46" xr10:uidLastSave="{00000000-0000-0000-0000-000000000000}"/>
  <bookViews>
    <workbookView xWindow="-120" yWindow="-120" windowWidth="24240" windowHeight="13140" tabRatio="743" firstSheet="1" activeTab="1" xr2:uid="{00000000-000D-0000-FFFF-FFFF00000000}"/>
  </bookViews>
  <sheets>
    <sheet name="Hoja5" sheetId="65" state="hidden" r:id="rId1"/>
    <sheet name="Control" sheetId="74" r:id="rId2"/>
    <sheet name="SOFT-TC-075" sheetId="10" r:id="rId3"/>
    <sheet name="Gráfico Precision" sheetId="73" r:id="rId4"/>
    <sheet name="PRECISION" sheetId="72" r:id="rId5"/>
    <sheet name="AZÚCARES" sheetId="13" state="hidden" r:id="rId6"/>
    <sheet name="GRASA AOAC 920.39" sheetId="2" state="hidden" r:id="rId7"/>
    <sheet name="FIBRA DIETARIA KIT" sheetId="14" state="hidden" r:id="rId8"/>
    <sheet name="PROTEÍNA AOAC 2001.11" sheetId="9" state="hidden" r:id="rId9"/>
    <sheet name="Curva Fósforo" sheetId="29" state="hidden" r:id="rId10"/>
    <sheet name="FOSFORO AOAC 965.17" sheetId="4" state="hidden" r:id="rId11"/>
    <sheet name="Matrices" sheetId="42" r:id="rId12"/>
    <sheet name="LIMITES GRAFICO" sheetId="66" r:id="rId13"/>
    <sheet name="ANOTACIONES" sheetId="69" r:id="rId14"/>
  </sheets>
  <externalReferences>
    <externalReference r:id="rId15"/>
    <externalReference r:id="rId16"/>
    <externalReference r:id="rId17"/>
    <externalReference r:id="rId18"/>
  </externalReferences>
  <definedNames>
    <definedName name="_xlnm._FilterDatabase" localSheetId="5" hidden="1">AZÚCARES!$A$5:$P$273</definedName>
    <definedName name="_xlnm._FilterDatabase" localSheetId="7" hidden="1">'FIBRA DIETARIA KIT'!$A$2:$Q$2</definedName>
    <definedName name="_xlnm._FilterDatabase" localSheetId="10" hidden="1">'FOSFORO AOAC 965.17'!$A$6:$Q$19</definedName>
    <definedName name="_xlnm._FilterDatabase" localSheetId="6" hidden="1">'GRASA AOAC 920.39'!$A$7:$O$304</definedName>
    <definedName name="_xlnm._FilterDatabase" localSheetId="8" hidden="1">'PROTEÍNA AOAC 2001.11'!$A$5:$Q$436</definedName>
    <definedName name="_xlnm._FilterDatabase" localSheetId="2" hidden="1">'SOFT-TC-075'!$A$4:$P$247</definedName>
    <definedName name="DatosExternos_1" localSheetId="4" hidden="1">PRECISION!$A$2:$F$32</definedName>
    <definedName name="ESTADOS_DOCUMENTOS">[3]!Tabla1[ESTADO DEL DOCUMENTO]</definedName>
    <definedName name="ESTADOS_OPERACION">[3]!Tabla2[ESTADOS DE OPERACIÓN]</definedName>
    <definedName name="MATRICES">Tabla4[MATRIZ]</definedName>
    <definedName name="SUSTANCIA">[1]!Tabla4[#Data]</definedName>
    <definedName name="Tipo_documento">[4]Datos!$D$2:$D$11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3" i="10" l="1"/>
  <c r="Q2" i="10"/>
  <c r="Q1" i="10"/>
  <c r="C1" i="10"/>
  <c r="B24" i="74"/>
  <c r="L18" i="10" l="1"/>
  <c r="L19" i="10"/>
  <c r="L20" i="10"/>
  <c r="L21" i="10"/>
  <c r="L22" i="10"/>
  <c r="L23" i="10"/>
  <c r="L24" i="10"/>
  <c r="L25" i="10"/>
  <c r="L26" i="10"/>
  <c r="L27" i="10"/>
  <c r="L28" i="10"/>
  <c r="L29" i="10"/>
  <c r="L30" i="10"/>
  <c r="L31" i="10"/>
  <c r="L32" i="10"/>
  <c r="L33" i="10"/>
  <c r="L34" i="10"/>
  <c r="L35" i="10"/>
  <c r="L36" i="10"/>
  <c r="L37" i="10"/>
  <c r="L38" i="10"/>
  <c r="L39" i="10"/>
  <c r="L40" i="10"/>
  <c r="L41" i="10"/>
  <c r="L42" i="10"/>
  <c r="L43" i="10"/>
  <c r="L44" i="10"/>
  <c r="L45" i="10"/>
  <c r="L46" i="10"/>
  <c r="L47" i="10"/>
  <c r="L48" i="10"/>
  <c r="L49" i="10"/>
  <c r="L50" i="10"/>
  <c r="L51" i="10"/>
  <c r="L52" i="10"/>
  <c r="L53" i="10"/>
  <c r="L54" i="10"/>
  <c r="L55" i="10"/>
  <c r="L56" i="10"/>
  <c r="L57" i="10"/>
  <c r="L58" i="10"/>
  <c r="L59" i="10"/>
  <c r="L60" i="10"/>
  <c r="L61" i="10"/>
  <c r="L62" i="10"/>
  <c r="L63" i="10"/>
  <c r="L64" i="10"/>
  <c r="L65" i="10"/>
  <c r="L66" i="10"/>
  <c r="L67" i="10"/>
  <c r="L68" i="10"/>
  <c r="L69" i="10"/>
  <c r="L70" i="10"/>
  <c r="L71" i="10"/>
  <c r="L72" i="10"/>
  <c r="L73" i="10"/>
  <c r="L74" i="10"/>
  <c r="L75" i="10"/>
  <c r="L76" i="10"/>
  <c r="L77" i="10"/>
  <c r="L78" i="10"/>
  <c r="L79" i="10"/>
  <c r="L80" i="10"/>
  <c r="L81" i="10"/>
  <c r="L82" i="10"/>
  <c r="L83" i="10"/>
  <c r="L84" i="10"/>
  <c r="L85" i="10"/>
  <c r="L86" i="10"/>
  <c r="L87" i="10"/>
  <c r="L88" i="10"/>
  <c r="L89" i="10"/>
  <c r="L90" i="10"/>
  <c r="L91" i="10"/>
  <c r="L92" i="10"/>
  <c r="L93" i="10"/>
  <c r="L94" i="10"/>
  <c r="L95" i="10"/>
  <c r="L96" i="10"/>
  <c r="L97" i="10"/>
  <c r="L98" i="10"/>
  <c r="L99" i="10"/>
  <c r="L100" i="10"/>
  <c r="L101" i="10"/>
  <c r="L102" i="10"/>
  <c r="L103" i="10"/>
  <c r="L104" i="10"/>
  <c r="L105" i="10"/>
  <c r="L106" i="10"/>
  <c r="L107" i="10"/>
  <c r="L108" i="10"/>
  <c r="L109" i="10"/>
  <c r="L110" i="10"/>
  <c r="L111" i="10"/>
  <c r="L112" i="10"/>
  <c r="L113" i="10"/>
  <c r="L114" i="10"/>
  <c r="L115" i="10"/>
  <c r="L116" i="10"/>
  <c r="L117" i="10"/>
  <c r="L118" i="10"/>
  <c r="L119" i="10"/>
  <c r="L120" i="10"/>
  <c r="L121" i="10"/>
  <c r="L122" i="10"/>
  <c r="L123" i="10"/>
  <c r="L124" i="10"/>
  <c r="L125" i="10"/>
  <c r="L126" i="10"/>
  <c r="L127" i="10"/>
  <c r="L128" i="10"/>
  <c r="L129" i="10"/>
  <c r="L130" i="10"/>
  <c r="L131" i="10"/>
  <c r="L132" i="10"/>
  <c r="L133" i="10"/>
  <c r="L134" i="10"/>
  <c r="L135" i="10"/>
  <c r="L136" i="10"/>
  <c r="L137" i="10"/>
  <c r="L138" i="10"/>
  <c r="L139" i="10"/>
  <c r="L140" i="10"/>
  <c r="L141" i="10"/>
  <c r="L142" i="10"/>
  <c r="L143" i="10"/>
  <c r="L144" i="10"/>
  <c r="L145" i="10"/>
  <c r="L146" i="10"/>
  <c r="L147" i="10"/>
  <c r="L148" i="10"/>
  <c r="L149" i="10"/>
  <c r="L150" i="10"/>
  <c r="L151" i="10"/>
  <c r="L152" i="10"/>
  <c r="L153" i="10"/>
  <c r="L154" i="10"/>
  <c r="L155" i="10"/>
  <c r="L156" i="10"/>
  <c r="L157" i="10"/>
  <c r="L158" i="10"/>
  <c r="L159" i="10"/>
  <c r="L160" i="10"/>
  <c r="L161" i="10"/>
  <c r="L162" i="10"/>
  <c r="L163" i="10"/>
  <c r="L164" i="10"/>
  <c r="L165" i="10"/>
  <c r="L166" i="10"/>
  <c r="L167" i="10"/>
  <c r="L168" i="10"/>
  <c r="L169" i="10"/>
  <c r="L170" i="10"/>
  <c r="L171" i="10"/>
  <c r="L172" i="10"/>
  <c r="L173" i="10"/>
  <c r="L174" i="10"/>
  <c r="L175" i="10"/>
  <c r="L176" i="10"/>
  <c r="L177" i="10"/>
  <c r="L178" i="10"/>
  <c r="L179" i="10"/>
  <c r="L180" i="10"/>
  <c r="L181" i="10"/>
  <c r="L182" i="10"/>
  <c r="L183" i="10"/>
  <c r="L184" i="10"/>
  <c r="L185" i="10"/>
  <c r="L186" i="10"/>
  <c r="L187" i="10"/>
  <c r="L188" i="10"/>
  <c r="L189" i="10"/>
  <c r="L190" i="10"/>
  <c r="L191" i="10"/>
  <c r="L192" i="10"/>
  <c r="L193" i="10"/>
  <c r="L194" i="10"/>
  <c r="L195" i="10"/>
  <c r="L196" i="10"/>
  <c r="L197" i="10"/>
  <c r="L198" i="10"/>
  <c r="L199" i="10"/>
  <c r="L200" i="10"/>
  <c r="L201" i="10"/>
  <c r="L202" i="10"/>
  <c r="L203" i="10"/>
  <c r="L204" i="10"/>
  <c r="L205" i="10"/>
  <c r="L206" i="10"/>
  <c r="L207" i="10"/>
  <c r="L208" i="10"/>
  <c r="L209" i="10"/>
  <c r="L210" i="10"/>
  <c r="L211" i="10"/>
  <c r="L212" i="10"/>
  <c r="L213" i="10"/>
  <c r="L214" i="10"/>
  <c r="L215" i="10"/>
  <c r="L216" i="10"/>
  <c r="L217" i="10"/>
  <c r="L218" i="10"/>
  <c r="L219" i="10"/>
  <c r="L220" i="10"/>
  <c r="L221" i="10"/>
  <c r="L222" i="10"/>
  <c r="L223" i="10"/>
  <c r="L224" i="10"/>
  <c r="L225" i="10"/>
  <c r="L226" i="10"/>
  <c r="L227" i="10"/>
  <c r="L228" i="10"/>
  <c r="L229" i="10"/>
  <c r="L230" i="10"/>
  <c r="L231" i="10"/>
  <c r="L232" i="10"/>
  <c r="L233" i="10"/>
  <c r="L234" i="10"/>
  <c r="L235" i="10"/>
  <c r="L236" i="10"/>
  <c r="L237" i="10"/>
  <c r="L238" i="10"/>
  <c r="L239" i="10"/>
  <c r="L240" i="10"/>
  <c r="L241" i="10"/>
  <c r="L242" i="10"/>
  <c r="L243" i="10"/>
  <c r="L244" i="10"/>
  <c r="L245" i="10"/>
  <c r="L246" i="10"/>
  <c r="L247" i="10"/>
  <c r="K18" i="10"/>
  <c r="K19" i="10"/>
  <c r="K20" i="10"/>
  <c r="K21" i="10"/>
  <c r="K22" i="10"/>
  <c r="K23" i="10"/>
  <c r="K24" i="10"/>
  <c r="K25" i="10"/>
  <c r="K26" i="10"/>
  <c r="K27" i="10"/>
  <c r="K28" i="10"/>
  <c r="K29" i="10"/>
  <c r="K30" i="10"/>
  <c r="K31" i="10"/>
  <c r="K32" i="10"/>
  <c r="K33" i="10"/>
  <c r="K34" i="10"/>
  <c r="K35" i="10"/>
  <c r="K36" i="10"/>
  <c r="K37" i="10"/>
  <c r="K38" i="10"/>
  <c r="K39" i="10"/>
  <c r="K40" i="10"/>
  <c r="K41" i="10"/>
  <c r="K42" i="10"/>
  <c r="K43" i="10"/>
  <c r="K44" i="10"/>
  <c r="K45" i="10"/>
  <c r="K46" i="10"/>
  <c r="K47" i="10"/>
  <c r="K48" i="10"/>
  <c r="K49" i="10"/>
  <c r="K50" i="10"/>
  <c r="K51" i="10"/>
  <c r="K52" i="10"/>
  <c r="K53" i="10"/>
  <c r="K54" i="10"/>
  <c r="K55" i="10"/>
  <c r="K56" i="10"/>
  <c r="K57" i="10"/>
  <c r="K58" i="10"/>
  <c r="K59" i="10"/>
  <c r="K60" i="10"/>
  <c r="K61" i="10"/>
  <c r="K62" i="10"/>
  <c r="K63" i="10"/>
  <c r="K64" i="10"/>
  <c r="K65" i="10"/>
  <c r="K66" i="10"/>
  <c r="K67" i="10"/>
  <c r="K68" i="10"/>
  <c r="K69" i="10"/>
  <c r="K70" i="10"/>
  <c r="K71" i="10"/>
  <c r="K72" i="10"/>
  <c r="K73" i="10"/>
  <c r="K74" i="10"/>
  <c r="K75" i="10"/>
  <c r="K76" i="10"/>
  <c r="K77" i="10"/>
  <c r="K78" i="10"/>
  <c r="K79" i="10"/>
  <c r="K80" i="10"/>
  <c r="K81" i="10"/>
  <c r="K82" i="10"/>
  <c r="K83" i="10"/>
  <c r="K84" i="10"/>
  <c r="K85" i="10"/>
  <c r="K86" i="10"/>
  <c r="K87" i="10"/>
  <c r="K88" i="10"/>
  <c r="K89" i="10"/>
  <c r="K90" i="10"/>
  <c r="K91" i="10"/>
  <c r="K92" i="10"/>
  <c r="K93" i="10"/>
  <c r="K94" i="10"/>
  <c r="K95" i="10"/>
  <c r="K96" i="10"/>
  <c r="K97" i="10"/>
  <c r="K98" i="10"/>
  <c r="K99" i="10"/>
  <c r="K100" i="10"/>
  <c r="K101" i="10"/>
  <c r="K102" i="10"/>
  <c r="K103" i="10"/>
  <c r="K104" i="10"/>
  <c r="K105" i="10"/>
  <c r="K106" i="10"/>
  <c r="K107" i="10"/>
  <c r="K108" i="10"/>
  <c r="K109" i="10"/>
  <c r="K110" i="10"/>
  <c r="K111" i="10"/>
  <c r="K112" i="10"/>
  <c r="K113" i="10"/>
  <c r="K114" i="10"/>
  <c r="K115" i="10"/>
  <c r="K116" i="10"/>
  <c r="K117" i="10"/>
  <c r="K118" i="10"/>
  <c r="K119" i="10"/>
  <c r="K120" i="10"/>
  <c r="K121" i="10"/>
  <c r="K122" i="10"/>
  <c r="K123" i="10"/>
  <c r="K124" i="10"/>
  <c r="K125" i="10"/>
  <c r="K126" i="10"/>
  <c r="K127" i="10"/>
  <c r="K128" i="10"/>
  <c r="K129" i="10"/>
  <c r="K130" i="10"/>
  <c r="K131" i="10"/>
  <c r="K132" i="10"/>
  <c r="K133" i="10"/>
  <c r="K134" i="10"/>
  <c r="K135" i="10"/>
  <c r="K136" i="10"/>
  <c r="K137" i="10"/>
  <c r="K138" i="10"/>
  <c r="K139" i="10"/>
  <c r="K140" i="10"/>
  <c r="K141" i="10"/>
  <c r="K142" i="10"/>
  <c r="K143" i="10"/>
  <c r="K144" i="10"/>
  <c r="K145" i="10"/>
  <c r="K146" i="10"/>
  <c r="K147" i="10"/>
  <c r="K148" i="10"/>
  <c r="K149" i="10"/>
  <c r="K150" i="10"/>
  <c r="K151" i="10"/>
  <c r="K152" i="10"/>
  <c r="K153" i="10"/>
  <c r="K154" i="10"/>
  <c r="K155" i="10"/>
  <c r="K156" i="10"/>
  <c r="K157" i="10"/>
  <c r="K158" i="10"/>
  <c r="K159" i="10"/>
  <c r="K160" i="10"/>
  <c r="K161" i="10"/>
  <c r="K162" i="10"/>
  <c r="K163" i="10"/>
  <c r="K164" i="10"/>
  <c r="K165" i="10"/>
  <c r="K166" i="10"/>
  <c r="K167" i="10"/>
  <c r="K168" i="10"/>
  <c r="K169" i="10"/>
  <c r="K170" i="10"/>
  <c r="K171" i="10"/>
  <c r="K172" i="10"/>
  <c r="K173" i="10"/>
  <c r="K174" i="10"/>
  <c r="K175" i="10"/>
  <c r="K176" i="10"/>
  <c r="K177" i="10"/>
  <c r="K178" i="10"/>
  <c r="K179" i="10"/>
  <c r="K180" i="10"/>
  <c r="K181" i="10"/>
  <c r="K182" i="10"/>
  <c r="K183" i="10"/>
  <c r="K184" i="10"/>
  <c r="K185" i="10"/>
  <c r="K186" i="10"/>
  <c r="K187" i="10"/>
  <c r="K188" i="10"/>
  <c r="K189" i="10"/>
  <c r="K190" i="10"/>
  <c r="K191" i="10"/>
  <c r="K192" i="10"/>
  <c r="K193" i="10"/>
  <c r="K194" i="10"/>
  <c r="K195" i="10"/>
  <c r="K196" i="10"/>
  <c r="K197" i="10"/>
  <c r="K198" i="10"/>
  <c r="K199" i="10"/>
  <c r="K200" i="10"/>
  <c r="K201" i="10"/>
  <c r="K202" i="10"/>
  <c r="K203" i="10"/>
  <c r="K204" i="10"/>
  <c r="K205" i="10"/>
  <c r="K206" i="10"/>
  <c r="K207" i="10"/>
  <c r="K208" i="10"/>
  <c r="K209" i="10"/>
  <c r="K210" i="10"/>
  <c r="K211" i="10"/>
  <c r="K212" i="10"/>
  <c r="K213" i="10"/>
  <c r="K214" i="10"/>
  <c r="K215" i="10"/>
  <c r="K216" i="10"/>
  <c r="K217" i="10"/>
  <c r="K218" i="10"/>
  <c r="K219" i="10"/>
  <c r="K220" i="10"/>
  <c r="K221" i="10"/>
  <c r="K222" i="10"/>
  <c r="K223" i="10"/>
  <c r="K224" i="10"/>
  <c r="K225" i="10"/>
  <c r="K226" i="10"/>
  <c r="K227" i="10"/>
  <c r="K228" i="10"/>
  <c r="K229" i="10"/>
  <c r="K230" i="10"/>
  <c r="K231" i="10"/>
  <c r="K232" i="10"/>
  <c r="K233" i="10"/>
  <c r="K234" i="10"/>
  <c r="K235" i="10"/>
  <c r="K236" i="10"/>
  <c r="K237" i="10"/>
  <c r="K238" i="10"/>
  <c r="K239" i="10"/>
  <c r="K240" i="10"/>
  <c r="K241" i="10"/>
  <c r="K242" i="10"/>
  <c r="K243" i="10"/>
  <c r="K244" i="10"/>
  <c r="K245" i="10"/>
  <c r="K246" i="10"/>
  <c r="K247" i="10"/>
  <c r="J18" i="10"/>
  <c r="J19" i="10"/>
  <c r="J20" i="10"/>
  <c r="J21" i="10"/>
  <c r="J22" i="10"/>
  <c r="J23" i="10"/>
  <c r="J24" i="10"/>
  <c r="J25" i="10"/>
  <c r="J26" i="10"/>
  <c r="J27" i="10"/>
  <c r="J28" i="10"/>
  <c r="J29" i="10"/>
  <c r="J30" i="10"/>
  <c r="J31" i="10"/>
  <c r="J32" i="10"/>
  <c r="J33" i="10"/>
  <c r="J34" i="10"/>
  <c r="J35" i="10"/>
  <c r="J36" i="10"/>
  <c r="J37" i="10"/>
  <c r="J38" i="10"/>
  <c r="J39" i="10"/>
  <c r="J40" i="10"/>
  <c r="J41" i="10"/>
  <c r="J42" i="10"/>
  <c r="J43" i="10"/>
  <c r="J44" i="10"/>
  <c r="J45" i="10"/>
  <c r="J46" i="10"/>
  <c r="J47" i="10"/>
  <c r="J48" i="10"/>
  <c r="J49" i="10"/>
  <c r="J50" i="10"/>
  <c r="J51" i="10"/>
  <c r="J52" i="10"/>
  <c r="J53" i="10"/>
  <c r="J54" i="10"/>
  <c r="J55" i="10"/>
  <c r="J56" i="10"/>
  <c r="J57" i="10"/>
  <c r="J58" i="10"/>
  <c r="J59" i="10"/>
  <c r="J60" i="10"/>
  <c r="J61" i="10"/>
  <c r="J62" i="10"/>
  <c r="J63" i="10"/>
  <c r="J64" i="10"/>
  <c r="J65" i="10"/>
  <c r="J66" i="10"/>
  <c r="J67" i="10"/>
  <c r="J68" i="10"/>
  <c r="J69" i="10"/>
  <c r="J70" i="10"/>
  <c r="J71" i="10"/>
  <c r="J72" i="10"/>
  <c r="J73" i="10"/>
  <c r="J74" i="10"/>
  <c r="J75" i="10"/>
  <c r="J76" i="10"/>
  <c r="J77" i="10"/>
  <c r="J78" i="10"/>
  <c r="J79" i="10"/>
  <c r="J80" i="10"/>
  <c r="J81" i="10"/>
  <c r="J82" i="10"/>
  <c r="J83" i="10"/>
  <c r="J84" i="10"/>
  <c r="J85" i="10"/>
  <c r="J86" i="10"/>
  <c r="J87" i="10"/>
  <c r="J88" i="10"/>
  <c r="J89" i="10"/>
  <c r="J90" i="10"/>
  <c r="J91" i="10"/>
  <c r="J92" i="10"/>
  <c r="J93" i="10"/>
  <c r="J94" i="10"/>
  <c r="J95" i="10"/>
  <c r="J96" i="10"/>
  <c r="J97" i="10"/>
  <c r="J98" i="10"/>
  <c r="J99" i="10"/>
  <c r="J100" i="10"/>
  <c r="J101" i="10"/>
  <c r="J102" i="10"/>
  <c r="J103" i="10"/>
  <c r="J104" i="10"/>
  <c r="J105" i="10"/>
  <c r="J106" i="10"/>
  <c r="J107" i="10"/>
  <c r="J108" i="10"/>
  <c r="J109" i="10"/>
  <c r="J110" i="10"/>
  <c r="J111" i="10"/>
  <c r="J112" i="10"/>
  <c r="J113" i="10"/>
  <c r="J114" i="10"/>
  <c r="J115" i="10"/>
  <c r="J116" i="10"/>
  <c r="J117" i="10"/>
  <c r="J118" i="10"/>
  <c r="J119" i="10"/>
  <c r="J120" i="10"/>
  <c r="J121" i="10"/>
  <c r="J122" i="10"/>
  <c r="J123" i="10"/>
  <c r="J124" i="10"/>
  <c r="J125" i="10"/>
  <c r="J126" i="10"/>
  <c r="J127" i="10"/>
  <c r="J128" i="10"/>
  <c r="J129" i="10"/>
  <c r="J130" i="10"/>
  <c r="J131" i="10"/>
  <c r="J132" i="10"/>
  <c r="J133" i="10"/>
  <c r="J134" i="10"/>
  <c r="J135" i="10"/>
  <c r="J136" i="10"/>
  <c r="J137" i="10"/>
  <c r="J138" i="10"/>
  <c r="J139" i="10"/>
  <c r="J140" i="10"/>
  <c r="J141" i="10"/>
  <c r="J142" i="10"/>
  <c r="J143" i="10"/>
  <c r="J144" i="10"/>
  <c r="J145" i="10"/>
  <c r="J146" i="10"/>
  <c r="J147" i="10"/>
  <c r="J148" i="10"/>
  <c r="J149" i="10"/>
  <c r="J150" i="10"/>
  <c r="J151" i="10"/>
  <c r="J152" i="10"/>
  <c r="J153" i="10"/>
  <c r="J154" i="10"/>
  <c r="J155" i="10"/>
  <c r="J156" i="10"/>
  <c r="J157" i="10"/>
  <c r="J158" i="10"/>
  <c r="J159" i="10"/>
  <c r="J160" i="10"/>
  <c r="J161" i="10"/>
  <c r="J162" i="10"/>
  <c r="J163" i="10"/>
  <c r="J164" i="10"/>
  <c r="J165" i="10"/>
  <c r="J166" i="10"/>
  <c r="J167" i="10"/>
  <c r="J168" i="10"/>
  <c r="J169" i="10"/>
  <c r="J170" i="10"/>
  <c r="J171" i="10"/>
  <c r="J172" i="10"/>
  <c r="J173" i="10"/>
  <c r="J174" i="10"/>
  <c r="J175" i="10"/>
  <c r="J176" i="10"/>
  <c r="J177" i="10"/>
  <c r="J178" i="10"/>
  <c r="J179" i="10"/>
  <c r="J180" i="10"/>
  <c r="J181" i="10"/>
  <c r="J182" i="10"/>
  <c r="J183" i="10"/>
  <c r="J184" i="10"/>
  <c r="J185" i="10"/>
  <c r="J186" i="10"/>
  <c r="J187" i="10"/>
  <c r="J188" i="10"/>
  <c r="J189" i="10"/>
  <c r="J190" i="10"/>
  <c r="J191" i="10"/>
  <c r="J192" i="10"/>
  <c r="J193" i="10"/>
  <c r="J194" i="10"/>
  <c r="J195" i="10"/>
  <c r="J196" i="10"/>
  <c r="J197" i="10"/>
  <c r="J198" i="10"/>
  <c r="J199" i="10"/>
  <c r="J200" i="10"/>
  <c r="J201" i="10"/>
  <c r="J202" i="10"/>
  <c r="J203" i="10"/>
  <c r="J204" i="10"/>
  <c r="J205" i="10"/>
  <c r="J206" i="10"/>
  <c r="J207" i="10"/>
  <c r="J208" i="10"/>
  <c r="J209" i="10"/>
  <c r="J210" i="10"/>
  <c r="J211" i="10"/>
  <c r="J212" i="10"/>
  <c r="J213" i="10"/>
  <c r="J214" i="10"/>
  <c r="J215" i="10"/>
  <c r="J216" i="10"/>
  <c r="J217" i="10"/>
  <c r="J218" i="10"/>
  <c r="J219" i="10"/>
  <c r="J220" i="10"/>
  <c r="J221" i="10"/>
  <c r="J222" i="10"/>
  <c r="J223" i="10"/>
  <c r="J224" i="10"/>
  <c r="J225" i="10"/>
  <c r="J226" i="10"/>
  <c r="J227" i="10"/>
  <c r="J228" i="10"/>
  <c r="J229" i="10"/>
  <c r="J230" i="10"/>
  <c r="J231" i="10"/>
  <c r="J232" i="10"/>
  <c r="J233" i="10"/>
  <c r="J234" i="10"/>
  <c r="J235" i="10"/>
  <c r="J236" i="10"/>
  <c r="J237" i="10"/>
  <c r="J238" i="10"/>
  <c r="J239" i="10"/>
  <c r="J240" i="10"/>
  <c r="J241" i="10"/>
  <c r="J242" i="10"/>
  <c r="J243" i="10"/>
  <c r="J244" i="10"/>
  <c r="J245" i="10"/>
  <c r="J246" i="10"/>
  <c r="J247" i="10"/>
  <c r="F1" i="72"/>
  <c r="E1" i="72"/>
  <c r="C1" i="72" s="1"/>
  <c r="A1" i="72" s="1"/>
  <c r="C35" i="66"/>
  <c r="C34" i="66"/>
  <c r="B34" i="66"/>
  <c r="C21" i="66"/>
  <c r="B21" i="66"/>
  <c r="C39" i="66"/>
  <c r="B39" i="66"/>
  <c r="AV39" i="66"/>
  <c r="C19" i="66" s="1"/>
  <c r="AQ10" i="66"/>
  <c r="B20" i="66" l="1"/>
  <c r="BL41" i="66"/>
  <c r="BL40" i="66"/>
  <c r="BL39" i="66"/>
  <c r="BL38" i="66"/>
  <c r="BL37" i="66"/>
  <c r="BL36" i="66"/>
  <c r="BL35" i="66"/>
  <c r="BL34" i="66"/>
  <c r="BL33" i="66"/>
  <c r="BL32" i="66"/>
  <c r="BL31" i="66"/>
  <c r="BL30" i="66"/>
  <c r="BL29" i="66"/>
  <c r="BL28" i="66"/>
  <c r="BL27" i="66"/>
  <c r="BL26" i="66"/>
  <c r="BL25" i="66"/>
  <c r="BL24" i="66"/>
  <c r="BL23" i="66"/>
  <c r="BL22" i="66"/>
  <c r="BL21" i="66"/>
  <c r="BL20" i="66"/>
  <c r="BL19" i="66"/>
  <c r="BL18" i="66"/>
  <c r="BL17" i="66"/>
  <c r="BL16" i="66"/>
  <c r="BL15" i="66"/>
  <c r="BL14" i="66"/>
  <c r="BL13" i="66"/>
  <c r="BL12" i="66"/>
  <c r="BK11" i="66"/>
  <c r="BJ11" i="66"/>
  <c r="BG10" i="66"/>
  <c r="BD41" i="66"/>
  <c r="BD40" i="66"/>
  <c r="BD39" i="66"/>
  <c r="BD38" i="66"/>
  <c r="BD37" i="66"/>
  <c r="BD36" i="66"/>
  <c r="BD35" i="66"/>
  <c r="BD34" i="66"/>
  <c r="BD33" i="66"/>
  <c r="BD32" i="66"/>
  <c r="BD31" i="66"/>
  <c r="BD30" i="66"/>
  <c r="BD29" i="66"/>
  <c r="BD28" i="66"/>
  <c r="BD27" i="66"/>
  <c r="BD26" i="66"/>
  <c r="BD25" i="66"/>
  <c r="BD24" i="66"/>
  <c r="BD23" i="66"/>
  <c r="BD22" i="66"/>
  <c r="BD21" i="66"/>
  <c r="BD20" i="66"/>
  <c r="BD19" i="66"/>
  <c r="BD18" i="66"/>
  <c r="BD17" i="66"/>
  <c r="BD16" i="66"/>
  <c r="BD15" i="66"/>
  <c r="BD14" i="66"/>
  <c r="BD13" i="66"/>
  <c r="BD12" i="66"/>
  <c r="BC11" i="66"/>
  <c r="BB11" i="66"/>
  <c r="AY10" i="66"/>
  <c r="AH12" i="66"/>
  <c r="AK13" i="66"/>
  <c r="AL13" i="66"/>
  <c r="AM14" i="66"/>
  <c r="AM15" i="66"/>
  <c r="AM16" i="66"/>
  <c r="AM17" i="66"/>
  <c r="AM18" i="66"/>
  <c r="AM19" i="66"/>
  <c r="AM20" i="66"/>
  <c r="AM21" i="66"/>
  <c r="AM22" i="66"/>
  <c r="AM23" i="66"/>
  <c r="AM24" i="66"/>
  <c r="AM25" i="66"/>
  <c r="AM26" i="66"/>
  <c r="AM27" i="66"/>
  <c r="AM28" i="66"/>
  <c r="AM29" i="66"/>
  <c r="AM30" i="66"/>
  <c r="AM31" i="66"/>
  <c r="AM32" i="66"/>
  <c r="AM33" i="66"/>
  <c r="AM34" i="66"/>
  <c r="AM35" i="66"/>
  <c r="AM36" i="66"/>
  <c r="AM37" i="66"/>
  <c r="AM38" i="66"/>
  <c r="AM39" i="66"/>
  <c r="AM40" i="66"/>
  <c r="AM41" i="66"/>
  <c r="AM42" i="66"/>
  <c r="AM43" i="66"/>
  <c r="AV41" i="66"/>
  <c r="AV40" i="66"/>
  <c r="AV38" i="66"/>
  <c r="AV37" i="66"/>
  <c r="AV36" i="66"/>
  <c r="AV35" i="66"/>
  <c r="AV34" i="66"/>
  <c r="AV33" i="66"/>
  <c r="AV32" i="66"/>
  <c r="AV31" i="66"/>
  <c r="AV30" i="66"/>
  <c r="B11" i="66" s="1"/>
  <c r="AV29" i="66"/>
  <c r="AV28" i="66"/>
  <c r="AV27" i="66"/>
  <c r="AV26" i="66"/>
  <c r="AV25" i="66"/>
  <c r="AV24" i="66"/>
  <c r="AV23" i="66"/>
  <c r="AV22" i="66"/>
  <c r="AV21" i="66"/>
  <c r="AV20" i="66"/>
  <c r="AV19" i="66"/>
  <c r="AV18" i="66"/>
  <c r="AV17" i="66"/>
  <c r="AV16" i="66"/>
  <c r="AV15" i="66"/>
  <c r="AV14" i="66"/>
  <c r="AV13" i="66"/>
  <c r="AV12" i="66"/>
  <c r="AU11" i="66"/>
  <c r="AT11" i="66"/>
  <c r="AE14" i="66"/>
  <c r="AE15" i="66"/>
  <c r="AE16" i="66"/>
  <c r="AE17" i="66"/>
  <c r="AE18" i="66"/>
  <c r="AE19" i="66"/>
  <c r="AE20" i="66"/>
  <c r="AE21" i="66"/>
  <c r="AE22" i="66"/>
  <c r="AE23" i="66"/>
  <c r="AE41" i="66"/>
  <c r="AE40" i="66"/>
  <c r="AE39" i="66"/>
  <c r="AE38" i="66"/>
  <c r="AE37" i="66"/>
  <c r="AE36" i="66"/>
  <c r="AE35" i="66"/>
  <c r="AE34" i="66"/>
  <c r="AE33" i="66"/>
  <c r="AE32" i="66"/>
  <c r="AE31" i="66"/>
  <c r="AE30" i="66"/>
  <c r="AE29" i="66"/>
  <c r="AE28" i="66"/>
  <c r="AE27" i="66"/>
  <c r="AE26" i="66"/>
  <c r="AE25" i="66"/>
  <c r="AE24" i="66"/>
  <c r="AE13" i="66"/>
  <c r="AE12" i="66"/>
  <c r="AD11" i="66"/>
  <c r="AC11" i="66"/>
  <c r="Z10" i="66"/>
  <c r="R10" i="66"/>
  <c r="W41" i="66"/>
  <c r="W40" i="66"/>
  <c r="W39" i="66"/>
  <c r="W38" i="66"/>
  <c r="W37" i="66"/>
  <c r="W36" i="66"/>
  <c r="W35" i="66"/>
  <c r="W34" i="66"/>
  <c r="W33" i="66"/>
  <c r="W32" i="66"/>
  <c r="W31" i="66"/>
  <c r="W30" i="66"/>
  <c r="W29" i="66"/>
  <c r="W28" i="66"/>
  <c r="W27" i="66"/>
  <c r="W26" i="66"/>
  <c r="W25" i="66"/>
  <c r="W24" i="66"/>
  <c r="W23" i="66"/>
  <c r="W22" i="66"/>
  <c r="W21" i="66"/>
  <c r="W20" i="66"/>
  <c r="W19" i="66"/>
  <c r="W18" i="66"/>
  <c r="W17" i="66"/>
  <c r="W16" i="66"/>
  <c r="W15" i="66"/>
  <c r="W14" i="66"/>
  <c r="W13" i="66"/>
  <c r="W12" i="66"/>
  <c r="V11" i="66"/>
  <c r="U11" i="66"/>
  <c r="C11" i="66" l="1"/>
  <c r="B12" i="66"/>
  <c r="C12" i="66"/>
  <c r="B13" i="66"/>
  <c r="C16" i="66"/>
  <c r="B17" i="66"/>
  <c r="B22" i="66"/>
  <c r="C20" i="66"/>
  <c r="B14" i="66"/>
  <c r="C13" i="66"/>
  <c r="C17" i="66"/>
  <c r="C15" i="66"/>
  <c r="B16" i="66"/>
  <c r="B15" i="66"/>
  <c r="C14" i="66"/>
  <c r="B19" i="66"/>
  <c r="AM44" i="66"/>
  <c r="BL43" i="66"/>
  <c r="BL42" i="66"/>
  <c r="BD43" i="66"/>
  <c r="BD42" i="66"/>
  <c r="AV42" i="66"/>
  <c r="AV43" i="66"/>
  <c r="AV44" i="66" s="1"/>
  <c r="AM45" i="66"/>
  <c r="AM46" i="66" s="1"/>
  <c r="AE43" i="66"/>
  <c r="AE42" i="66"/>
  <c r="W42" i="66"/>
  <c r="W43" i="66"/>
  <c r="BD45" i="66" l="1"/>
  <c r="BL46" i="66"/>
  <c r="W44" i="66"/>
  <c r="BL45" i="66"/>
  <c r="B35" i="66" s="1"/>
  <c r="BL44" i="66"/>
  <c r="BD44" i="66"/>
  <c r="BD46" i="66"/>
  <c r="AV45" i="66"/>
  <c r="B26" i="66" s="1"/>
  <c r="AV46" i="66"/>
  <c r="C26" i="66" s="1"/>
  <c r="AM48" i="66"/>
  <c r="AM47" i="66"/>
  <c r="AE44" i="66"/>
  <c r="AE46" i="66"/>
  <c r="AE45" i="66"/>
  <c r="W46" i="66"/>
  <c r="W45" i="66"/>
  <c r="B15" i="10"/>
  <c r="B14" i="10"/>
  <c r="B9" i="10"/>
  <c r="O13" i="66"/>
  <c r="O12" i="66"/>
  <c r="O41" i="66"/>
  <c r="O40" i="66"/>
  <c r="O39" i="66"/>
  <c r="O38" i="66"/>
  <c r="O37" i="66"/>
  <c r="O36" i="66"/>
  <c r="O35" i="66"/>
  <c r="O34" i="66"/>
  <c r="O33" i="66"/>
  <c r="O32" i="66"/>
  <c r="O31" i="66"/>
  <c r="O30" i="66"/>
  <c r="O29" i="66"/>
  <c r="O28" i="66"/>
  <c r="O27" i="66"/>
  <c r="O26" i="66"/>
  <c r="O25" i="66"/>
  <c r="O24" i="66"/>
  <c r="O23" i="66"/>
  <c r="O22" i="66"/>
  <c r="O21" i="66"/>
  <c r="O20" i="66"/>
  <c r="O19" i="66"/>
  <c r="O18" i="66"/>
  <c r="O17" i="66"/>
  <c r="O16" i="66"/>
  <c r="O15" i="66"/>
  <c r="O14" i="66"/>
  <c r="N11" i="66"/>
  <c r="M11" i="66"/>
  <c r="J10" i="66"/>
  <c r="O43" i="66" l="1"/>
  <c r="O42" i="66"/>
  <c r="O46" i="66" l="1"/>
  <c r="C18" i="66" s="1"/>
  <c r="O44" i="66"/>
  <c r="O45" i="66"/>
  <c r="B18" i="66" s="1"/>
  <c r="U212" i="10" l="1"/>
  <c r="U211" i="10"/>
  <c r="U214" i="10" l="1"/>
  <c r="K42" i="4" l="1"/>
  <c r="L65" i="4" l="1"/>
  <c r="M65" i="4" s="1"/>
  <c r="N65" i="4" s="1"/>
  <c r="F65" i="4"/>
  <c r="F64" i="4"/>
  <c r="L64" i="4"/>
  <c r="L63" i="4" l="1"/>
  <c r="M63" i="4" s="1"/>
  <c r="N63" i="4" s="1"/>
  <c r="M64" i="4"/>
  <c r="O64" i="4" s="1"/>
  <c r="L62" i="4"/>
  <c r="M62" i="4" s="1"/>
  <c r="N62" i="4" s="1"/>
  <c r="F63" i="4"/>
  <c r="F62" i="4"/>
  <c r="L61" i="4"/>
  <c r="M61" i="4" s="1"/>
  <c r="N61" i="4" s="1"/>
  <c r="F61" i="4"/>
  <c r="L60" i="4"/>
  <c r="M60" i="4" s="1"/>
  <c r="F60" i="4"/>
  <c r="P62" i="4" l="1"/>
  <c r="O62" i="4"/>
  <c r="P64" i="4"/>
  <c r="Q64" i="4" s="1"/>
  <c r="N64" i="4"/>
  <c r="P60" i="4"/>
  <c r="O60" i="4"/>
  <c r="N60" i="4"/>
  <c r="Q62" i="4" l="1"/>
  <c r="Q60" i="4"/>
  <c r="F41" i="4" l="1"/>
  <c r="F42" i="4"/>
  <c r="F43" i="4"/>
  <c r="F44" i="4"/>
  <c r="F45" i="4"/>
  <c r="F46" i="4"/>
  <c r="F47" i="4"/>
  <c r="F48" i="4"/>
  <c r="F49" i="4"/>
  <c r="F50" i="4"/>
  <c r="F51" i="4"/>
  <c r="F52" i="4"/>
  <c r="F53" i="4"/>
  <c r="F54" i="4"/>
  <c r="F55" i="4"/>
  <c r="F56" i="4"/>
  <c r="F57" i="4"/>
  <c r="F58" i="4"/>
  <c r="F59" i="4"/>
  <c r="H137" i="14" l="1"/>
  <c r="D435" i="9" s="1"/>
  <c r="F435" i="9" s="1"/>
  <c r="I435" i="9" s="1"/>
  <c r="I137" i="14" s="1"/>
  <c r="H138" i="14"/>
  <c r="H139" i="14"/>
  <c r="D436" i="9" s="1"/>
  <c r="F436" i="9" s="1"/>
  <c r="I436" i="9" s="1"/>
  <c r="I139" i="14" s="1"/>
  <c r="H136" i="14"/>
  <c r="K59" i="4" l="1"/>
  <c r="L59" i="4" s="1"/>
  <c r="M59" i="4" s="1"/>
  <c r="N59" i="4" s="1"/>
  <c r="K58" i="4"/>
  <c r="L58" i="4" s="1"/>
  <c r="M58" i="4" s="1"/>
  <c r="K57" i="4"/>
  <c r="L57" i="4" s="1"/>
  <c r="M57" i="4" s="1"/>
  <c r="N57" i="4" s="1"/>
  <c r="K56" i="4"/>
  <c r="L56" i="4" s="1"/>
  <c r="M56" i="4" s="1"/>
  <c r="N58" i="4" l="1"/>
  <c r="P58" i="4"/>
  <c r="O58" i="4"/>
  <c r="N56" i="4"/>
  <c r="O56" i="4"/>
  <c r="P56" i="4"/>
  <c r="C94" i="29"/>
  <c r="F94" i="29" s="1"/>
  <c r="H94" i="29" s="1"/>
  <c r="C93" i="29"/>
  <c r="F93" i="29" s="1"/>
  <c r="H93" i="29" s="1"/>
  <c r="Q56" i="4" l="1"/>
  <c r="Q58" i="4"/>
  <c r="H135" i="14" l="1"/>
  <c r="D434" i="9" s="1"/>
  <c r="F434" i="9" s="1"/>
  <c r="I434" i="9" s="1"/>
  <c r="H134" i="14"/>
  <c r="F433" i="9" l="1"/>
  <c r="I433" i="9" s="1"/>
  <c r="F432" i="9"/>
  <c r="I432" i="9" s="1"/>
  <c r="F431" i="9"/>
  <c r="I431" i="9" s="1"/>
  <c r="F430" i="9"/>
  <c r="I430" i="9" s="1"/>
  <c r="F429" i="9"/>
  <c r="I429" i="9" s="1"/>
  <c r="J430" i="9" l="1"/>
  <c r="K430" i="9"/>
  <c r="K432" i="9"/>
  <c r="J432" i="9"/>
  <c r="L430" i="9" l="1"/>
  <c r="L432" i="9"/>
  <c r="H133" i="14"/>
  <c r="D428" i="9" s="1"/>
  <c r="F428" i="9" s="1"/>
  <c r="I428" i="9" s="1"/>
  <c r="I133" i="14" s="1"/>
  <c r="H132" i="14"/>
  <c r="H131" i="14"/>
  <c r="D427" i="9" s="1"/>
  <c r="F427" i="9" s="1"/>
  <c r="I427" i="9" s="1"/>
  <c r="I131" i="14" s="1"/>
  <c r="H130" i="14"/>
  <c r="H129" i="14" l="1"/>
  <c r="D426" i="9" s="1"/>
  <c r="F426" i="9" s="1"/>
  <c r="I426" i="9" s="1"/>
  <c r="I129" i="14" s="1"/>
  <c r="H128" i="14"/>
  <c r="I273" i="13" l="1"/>
  <c r="K273" i="13" s="1"/>
  <c r="F425" i="9" l="1"/>
  <c r="I425" i="9" l="1"/>
  <c r="F424" i="9"/>
  <c r="I424" i="9" s="1"/>
  <c r="F423" i="9"/>
  <c r="I423" i="9" s="1"/>
  <c r="F422" i="9"/>
  <c r="I422" i="9" s="1"/>
  <c r="K424" i="9" l="1"/>
  <c r="J424" i="9"/>
  <c r="J422" i="9"/>
  <c r="K422" i="9"/>
  <c r="L422" i="9" l="1"/>
  <c r="L424" i="9"/>
  <c r="F421" i="9"/>
  <c r="I421" i="9" s="1"/>
  <c r="I271" i="13" l="1"/>
  <c r="K271" i="13" s="1"/>
  <c r="I272" i="13"/>
  <c r="K272" i="13" s="1"/>
  <c r="I270" i="13"/>
  <c r="K270" i="13" s="1"/>
  <c r="I267" i="13"/>
  <c r="K267" i="13" s="1"/>
  <c r="I268" i="13"/>
  <c r="K268" i="13" s="1"/>
  <c r="I269" i="13"/>
  <c r="K269" i="13" s="1"/>
  <c r="I266" i="13"/>
  <c r="M268" i="13" l="1"/>
  <c r="L268" i="13"/>
  <c r="L271" i="13"/>
  <c r="M271" i="13"/>
  <c r="K266" i="13"/>
  <c r="I262" i="13"/>
  <c r="K262" i="13" s="1"/>
  <c r="I263" i="13"/>
  <c r="K263" i="13" s="1"/>
  <c r="I264" i="13"/>
  <c r="K264" i="13" s="1"/>
  <c r="I265" i="13"/>
  <c r="K265" i="13" s="1"/>
  <c r="N271" i="13" l="1"/>
  <c r="M264" i="13"/>
  <c r="L264" i="13"/>
  <c r="L262" i="13"/>
  <c r="M262" i="13"/>
  <c r="M266" i="13"/>
  <c r="L266" i="13"/>
  <c r="P266" i="13" s="1"/>
  <c r="N268" i="13"/>
  <c r="N262" i="13" l="1"/>
  <c r="N266" i="13"/>
  <c r="P262" i="13"/>
  <c r="N264" i="13"/>
  <c r="F411" i="9" l="1"/>
  <c r="I411" i="9" s="1"/>
  <c r="F420" i="9"/>
  <c r="I420" i="9" s="1"/>
  <c r="F414" i="9"/>
  <c r="I414" i="9" s="1"/>
  <c r="F415" i="9"/>
  <c r="I415" i="9" s="1"/>
  <c r="F416" i="9"/>
  <c r="I416" i="9" s="1"/>
  <c r="F417" i="9"/>
  <c r="I417" i="9" s="1"/>
  <c r="F418" i="9"/>
  <c r="I418" i="9" s="1"/>
  <c r="F419" i="9"/>
  <c r="I419" i="9" s="1"/>
  <c r="F413" i="9"/>
  <c r="I413" i="9" s="1"/>
  <c r="F412" i="9"/>
  <c r="I412" i="9" s="1"/>
  <c r="K411" i="9" l="1"/>
  <c r="K418" i="9"/>
  <c r="J414" i="9"/>
  <c r="K414" i="9"/>
  <c r="J418" i="9"/>
  <c r="J411" i="9"/>
  <c r="L418" i="9" l="1"/>
  <c r="L414" i="9"/>
  <c r="L411" i="9"/>
  <c r="K53" i="4"/>
  <c r="L53" i="4" s="1"/>
  <c r="M53" i="4" s="1"/>
  <c r="N53" i="4" s="1"/>
  <c r="K54" i="4"/>
  <c r="L54" i="4" s="1"/>
  <c r="M54" i="4" s="1"/>
  <c r="K55" i="4"/>
  <c r="L55" i="4" s="1"/>
  <c r="M55" i="4" s="1"/>
  <c r="N55" i="4" s="1"/>
  <c r="K49" i="4"/>
  <c r="L49" i="4" s="1"/>
  <c r="M49" i="4" s="1"/>
  <c r="N49" i="4" s="1"/>
  <c r="K50" i="4"/>
  <c r="L50" i="4" s="1"/>
  <c r="M50" i="4" s="1"/>
  <c r="K51" i="4"/>
  <c r="L51" i="4" s="1"/>
  <c r="M51" i="4" s="1"/>
  <c r="N51" i="4" s="1"/>
  <c r="K52" i="4"/>
  <c r="L52" i="4" s="1"/>
  <c r="M52" i="4" s="1"/>
  <c r="N52" i="4" s="1"/>
  <c r="K44" i="4"/>
  <c r="L44" i="4" s="1"/>
  <c r="M44" i="4" s="1"/>
  <c r="N44" i="4" s="1"/>
  <c r="K45" i="4"/>
  <c r="L45" i="4" s="1"/>
  <c r="M45" i="4" s="1"/>
  <c r="N45" i="4" s="1"/>
  <c r="K46" i="4"/>
  <c r="L46" i="4" s="1"/>
  <c r="M46" i="4" s="1"/>
  <c r="N46" i="4" s="1"/>
  <c r="K47" i="4"/>
  <c r="L47" i="4" s="1"/>
  <c r="M47" i="4" s="1"/>
  <c r="N47" i="4" s="1"/>
  <c r="K48" i="4"/>
  <c r="L48" i="4" s="1"/>
  <c r="M48" i="4" s="1"/>
  <c r="N48" i="4" s="1"/>
  <c r="C75" i="29"/>
  <c r="C74" i="29"/>
  <c r="C73" i="29"/>
  <c r="C72" i="29"/>
  <c r="O52" i="4" l="1"/>
  <c r="N54" i="4"/>
  <c r="O54" i="4"/>
  <c r="P54" i="4"/>
  <c r="N50" i="4"/>
  <c r="P50" i="4"/>
  <c r="O50" i="4"/>
  <c r="P48" i="4"/>
  <c r="P46" i="4"/>
  <c r="P44" i="4"/>
  <c r="P52" i="4"/>
  <c r="O48" i="4"/>
  <c r="O46" i="4"/>
  <c r="O44" i="4"/>
  <c r="Q50" i="4" l="1"/>
  <c r="Q54" i="4"/>
  <c r="Q52" i="4"/>
  <c r="Q44" i="4"/>
  <c r="Q48" i="4"/>
  <c r="Q46" i="4"/>
  <c r="F402" i="9"/>
  <c r="I402" i="9" s="1"/>
  <c r="F403" i="9"/>
  <c r="I403" i="9" s="1"/>
  <c r="F404" i="9"/>
  <c r="I404" i="9" s="1"/>
  <c r="F405" i="9"/>
  <c r="I405" i="9" s="1"/>
  <c r="F406" i="9"/>
  <c r="I406" i="9" s="1"/>
  <c r="F407" i="9"/>
  <c r="I407" i="9" s="1"/>
  <c r="F408" i="9"/>
  <c r="I408" i="9" s="1"/>
  <c r="F409" i="9"/>
  <c r="I409" i="9" s="1"/>
  <c r="F410" i="9"/>
  <c r="I410" i="9" s="1"/>
  <c r="K405" i="9" l="1"/>
  <c r="J405" i="9"/>
  <c r="L405" i="9" l="1"/>
  <c r="H127" i="14"/>
  <c r="D401" i="9" s="1"/>
  <c r="F401" i="9" s="1"/>
  <c r="I401" i="9" s="1"/>
  <c r="I127" i="14" s="1"/>
  <c r="H126" i="14"/>
  <c r="I261" i="13"/>
  <c r="K261" i="13" s="1"/>
  <c r="I259" i="13"/>
  <c r="K259" i="13" s="1"/>
  <c r="I260" i="13"/>
  <c r="K260" i="13" s="1"/>
  <c r="L259" i="13" l="1"/>
  <c r="M259" i="13"/>
  <c r="N259" i="13" l="1"/>
  <c r="F398" i="9"/>
  <c r="I398" i="9" s="1"/>
  <c r="F399" i="9"/>
  <c r="I399" i="9" s="1"/>
  <c r="F400" i="9"/>
  <c r="I400" i="9" s="1"/>
  <c r="F397" i="9"/>
  <c r="I397" i="9" s="1"/>
  <c r="F388" i="9"/>
  <c r="F387" i="9"/>
  <c r="F386" i="9"/>
  <c r="I386" i="9" s="1"/>
  <c r="F385" i="9"/>
  <c r="I385" i="9" s="1"/>
  <c r="F384" i="9"/>
  <c r="I384" i="9" s="1"/>
  <c r="F383" i="9"/>
  <c r="I383" i="9" s="1"/>
  <c r="F382" i="9"/>
  <c r="I382" i="9" s="1"/>
  <c r="F381" i="9"/>
  <c r="I381" i="9" s="1"/>
  <c r="J384" i="9" l="1"/>
  <c r="K384" i="9"/>
  <c r="K397" i="9"/>
  <c r="J397" i="9"/>
  <c r="F396" i="9"/>
  <c r="I396" i="9" s="1"/>
  <c r="F395" i="9"/>
  <c r="I395" i="9" s="1"/>
  <c r="F394" i="9"/>
  <c r="I394" i="9" s="1"/>
  <c r="F391" i="9"/>
  <c r="I391" i="9" s="1"/>
  <c r="F393" i="9"/>
  <c r="I393" i="9" s="1"/>
  <c r="F392" i="9"/>
  <c r="I392" i="9" s="1"/>
  <c r="F390" i="9"/>
  <c r="I390" i="9" s="1"/>
  <c r="K246" i="13"/>
  <c r="F389" i="9"/>
  <c r="I389" i="9" s="1"/>
  <c r="I257" i="13"/>
  <c r="K257" i="13" s="1"/>
  <c r="I258" i="13"/>
  <c r="K258" i="13" s="1"/>
  <c r="I253" i="13"/>
  <c r="K253" i="13" s="1"/>
  <c r="I254" i="13"/>
  <c r="K254" i="13" s="1"/>
  <c r="I255" i="13"/>
  <c r="K255" i="13" s="1"/>
  <c r="I256" i="13"/>
  <c r="K256" i="13" s="1"/>
  <c r="M256" i="13" l="1"/>
  <c r="L256" i="13"/>
  <c r="L254" i="13"/>
  <c r="M254" i="13"/>
  <c r="L397" i="9"/>
  <c r="L384" i="9"/>
  <c r="K395" i="9"/>
  <c r="J395" i="9"/>
  <c r="J390" i="9"/>
  <c r="K390" i="9"/>
  <c r="J392" i="9"/>
  <c r="K392" i="9"/>
  <c r="P254" i="13" l="1"/>
  <c r="N254" i="13"/>
  <c r="N256" i="13"/>
  <c r="L390" i="9"/>
  <c r="L395" i="9"/>
  <c r="L392" i="9"/>
  <c r="K248" i="13" l="1"/>
  <c r="I250" i="13"/>
  <c r="K250" i="13" s="1"/>
  <c r="I251" i="13"/>
  <c r="K251" i="13" s="1"/>
  <c r="I252" i="13"/>
  <c r="K252" i="13" s="1"/>
  <c r="I249" i="13"/>
  <c r="K249" i="13" s="1"/>
  <c r="L251" i="13" l="1"/>
  <c r="M251" i="13"/>
  <c r="M249" i="13"/>
  <c r="L249" i="13"/>
  <c r="F380" i="9"/>
  <c r="I380" i="9" s="1"/>
  <c r="F379" i="9"/>
  <c r="I379" i="9" s="1"/>
  <c r="F378" i="9"/>
  <c r="I378" i="9" s="1"/>
  <c r="F377" i="9"/>
  <c r="I377" i="9" s="1"/>
  <c r="F376" i="9"/>
  <c r="I376" i="9" s="1"/>
  <c r="F375" i="9"/>
  <c r="I375" i="9" s="1"/>
  <c r="F374" i="9"/>
  <c r="I374" i="9" s="1"/>
  <c r="F373" i="9"/>
  <c r="I373" i="9" s="1"/>
  <c r="F372" i="9"/>
  <c r="I372" i="9" s="1"/>
  <c r="F371" i="9"/>
  <c r="I371" i="9" s="1"/>
  <c r="P249" i="13" l="1"/>
  <c r="N251" i="13"/>
  <c r="K373" i="9"/>
  <c r="J379" i="9"/>
  <c r="J375" i="9"/>
  <c r="J377" i="9"/>
  <c r="N249" i="13"/>
  <c r="K379" i="9"/>
  <c r="J373" i="9"/>
  <c r="K377" i="9"/>
  <c r="K375" i="9"/>
  <c r="K371" i="9"/>
  <c r="J371" i="9"/>
  <c r="L375" i="9" l="1"/>
  <c r="L377" i="9"/>
  <c r="L379" i="9"/>
  <c r="L371" i="9"/>
  <c r="L373" i="9"/>
  <c r="F370" i="9"/>
  <c r="I370" i="9" s="1"/>
  <c r="F369" i="9"/>
  <c r="I369" i="9" s="1"/>
  <c r="F368" i="9"/>
  <c r="I368" i="9" s="1"/>
  <c r="F367" i="9"/>
  <c r="I367" i="9" s="1"/>
  <c r="F366" i="9"/>
  <c r="I366" i="9" s="1"/>
  <c r="F365" i="9"/>
  <c r="I365" i="9" s="1"/>
  <c r="F364" i="9"/>
  <c r="I364" i="9" s="1"/>
  <c r="F363" i="9"/>
  <c r="I363" i="9" s="1"/>
  <c r="F362" i="9"/>
  <c r="I362" i="9" s="1"/>
  <c r="F361" i="9"/>
  <c r="I361" i="9" s="1"/>
  <c r="F360" i="9"/>
  <c r="I360" i="9" s="1"/>
  <c r="F359" i="9"/>
  <c r="I359" i="9" s="1"/>
  <c r="F358" i="9"/>
  <c r="I358" i="9" s="1"/>
  <c r="F357" i="9"/>
  <c r="I357" i="9" s="1"/>
  <c r="F356" i="9"/>
  <c r="I356" i="9" s="1"/>
  <c r="J365" i="9" l="1"/>
  <c r="K365" i="9"/>
  <c r="J367" i="9"/>
  <c r="K367" i="9"/>
  <c r="J359" i="9"/>
  <c r="J363" i="9"/>
  <c r="K359" i="9"/>
  <c r="K363" i="9"/>
  <c r="F355" i="9"/>
  <c r="I355" i="9" s="1"/>
  <c r="F354" i="9"/>
  <c r="I354" i="9" s="1"/>
  <c r="F353" i="9"/>
  <c r="I353" i="9" s="1"/>
  <c r="F352" i="9"/>
  <c r="I352" i="9" s="1"/>
  <c r="F351" i="9"/>
  <c r="I351" i="9" s="1"/>
  <c r="F350" i="9"/>
  <c r="I350" i="9" s="1"/>
  <c r="F349" i="9"/>
  <c r="I349" i="9" s="1"/>
  <c r="L365" i="9" l="1"/>
  <c r="L359" i="9"/>
  <c r="L367" i="9"/>
  <c r="L363" i="9"/>
  <c r="F348" i="9"/>
  <c r="I348" i="9" s="1"/>
  <c r="F347" i="9"/>
  <c r="I347" i="9" s="1"/>
  <c r="F345" i="9"/>
  <c r="I345" i="9" s="1"/>
  <c r="F346" i="9"/>
  <c r="I346" i="9" s="1"/>
  <c r="J347" i="9" l="1"/>
  <c r="K347" i="9"/>
  <c r="K345" i="9"/>
  <c r="J345" i="9"/>
  <c r="L347" i="9" l="1"/>
  <c r="L345" i="9"/>
  <c r="H125" i="14" l="1"/>
  <c r="D344" i="9" s="1"/>
  <c r="F344" i="9" s="1"/>
  <c r="I344" i="9" s="1"/>
  <c r="I125" i="14" s="1"/>
  <c r="H124" i="14"/>
  <c r="H123" i="14"/>
  <c r="D343" i="9" s="1"/>
  <c r="F343" i="9" s="1"/>
  <c r="I343" i="9" s="1"/>
  <c r="I123" i="14" s="1"/>
  <c r="H122" i="14"/>
  <c r="H121" i="14"/>
  <c r="D342" i="9" s="1"/>
  <c r="F342" i="9" s="1"/>
  <c r="I342" i="9" s="1"/>
  <c r="I121" i="14" s="1"/>
  <c r="H120" i="14"/>
  <c r="H119" i="14"/>
  <c r="D341" i="9" s="1"/>
  <c r="F341" i="9" s="1"/>
  <c r="I341" i="9" s="1"/>
  <c r="I119" i="14" s="1"/>
  <c r="H118" i="14"/>
  <c r="H117" i="14"/>
  <c r="D340" i="9" s="1"/>
  <c r="F340" i="9" s="1"/>
  <c r="I340" i="9" s="1"/>
  <c r="I117" i="14" s="1"/>
  <c r="H116" i="14"/>
  <c r="H115" i="14"/>
  <c r="D339" i="9" s="1"/>
  <c r="F339" i="9" s="1"/>
  <c r="I339" i="9" s="1"/>
  <c r="I115" i="14" s="1"/>
  <c r="H114" i="14"/>
  <c r="K114" i="14" l="1"/>
  <c r="K229" i="13"/>
  <c r="K230" i="13"/>
  <c r="K231" i="13"/>
  <c r="K232" i="13"/>
  <c r="K233" i="13"/>
  <c r="K234" i="13"/>
  <c r="K235" i="13"/>
  <c r="K236" i="13"/>
  <c r="K237" i="13"/>
  <c r="K238" i="13"/>
  <c r="K239" i="13"/>
  <c r="K240" i="13"/>
  <c r="K241" i="13"/>
  <c r="K242" i="13"/>
  <c r="K243" i="13"/>
  <c r="K244" i="13"/>
  <c r="K245" i="13"/>
  <c r="K247" i="13"/>
  <c r="L248" i="13"/>
  <c r="F338" i="9"/>
  <c r="I338" i="9" s="1"/>
  <c r="F337" i="9"/>
  <c r="I337" i="9" s="1"/>
  <c r="F336" i="9"/>
  <c r="I336" i="9" s="1"/>
  <c r="F335" i="9"/>
  <c r="I335" i="9" s="1"/>
  <c r="F334" i="9"/>
  <c r="I334" i="9" s="1"/>
  <c r="F333" i="9"/>
  <c r="I333" i="9" s="1"/>
  <c r="M244" i="13" l="1"/>
  <c r="M234" i="13"/>
  <c r="L230" i="13"/>
  <c r="L242" i="13"/>
  <c r="M240" i="13"/>
  <c r="M232" i="13"/>
  <c r="L234" i="13"/>
  <c r="M230" i="13"/>
  <c r="M242" i="13"/>
  <c r="L244" i="13"/>
  <c r="L240" i="13"/>
  <c r="L236" i="13"/>
  <c r="L232" i="13"/>
  <c r="M236" i="13"/>
  <c r="M246" i="13"/>
  <c r="L246" i="13"/>
  <c r="M238" i="13"/>
  <c r="L238" i="13"/>
  <c r="F332" i="9"/>
  <c r="I332" i="9" s="1"/>
  <c r="N240" i="13" l="1"/>
  <c r="N230" i="13"/>
  <c r="N232" i="13"/>
  <c r="N242" i="13"/>
  <c r="N234" i="13"/>
  <c r="P242" i="13"/>
  <c r="N244" i="13"/>
  <c r="N236" i="13"/>
  <c r="P232" i="13"/>
  <c r="N246" i="13"/>
  <c r="N238" i="13"/>
  <c r="F331" i="9" l="1"/>
  <c r="I331" i="9" s="1"/>
  <c r="F330" i="9"/>
  <c r="I330" i="9" s="1"/>
  <c r="F329" i="9"/>
  <c r="K330" i="9" l="1"/>
  <c r="J330" i="9"/>
  <c r="L330" i="9" l="1"/>
  <c r="K43" i="4"/>
  <c r="L43" i="4" s="1"/>
  <c r="M43" i="4" s="1"/>
  <c r="N43" i="4" s="1"/>
  <c r="L42" i="4"/>
  <c r="M42" i="4" s="1"/>
  <c r="N42" i="4" s="1"/>
  <c r="K41" i="4"/>
  <c r="L41" i="4" s="1"/>
  <c r="M41" i="4" s="1"/>
  <c r="N41" i="4" s="1"/>
  <c r="K40" i="4"/>
  <c r="L40" i="4" s="1"/>
  <c r="M40" i="4" s="1"/>
  <c r="N40" i="4" s="1"/>
  <c r="K39" i="4"/>
  <c r="L39" i="4" s="1"/>
  <c r="M39" i="4" s="1"/>
  <c r="N39" i="4" s="1"/>
  <c r="K38" i="4"/>
  <c r="L38" i="4" s="1"/>
  <c r="M38" i="4" s="1"/>
  <c r="N38" i="4" s="1"/>
  <c r="K37" i="4"/>
  <c r="L37" i="4" s="1"/>
  <c r="M37" i="4" s="1"/>
  <c r="N37" i="4" s="1"/>
  <c r="K36" i="4"/>
  <c r="L36" i="4" s="1"/>
  <c r="M36" i="4" s="1"/>
  <c r="N36" i="4" s="1"/>
  <c r="K35" i="4"/>
  <c r="L35" i="4" s="1"/>
  <c r="M35" i="4" s="1"/>
  <c r="N35" i="4" s="1"/>
  <c r="K34" i="4"/>
  <c r="L34" i="4" s="1"/>
  <c r="M34" i="4" s="1"/>
  <c r="N34" i="4" s="1"/>
  <c r="K33" i="4"/>
  <c r="L33" i="4" s="1"/>
  <c r="M33" i="4" s="1"/>
  <c r="N33" i="4" s="1"/>
  <c r="K32" i="4"/>
  <c r="L32" i="4" s="1"/>
  <c r="M32" i="4" s="1"/>
  <c r="N32" i="4" s="1"/>
  <c r="F32" i="4"/>
  <c r="F33" i="4"/>
  <c r="F34" i="4"/>
  <c r="F35" i="4"/>
  <c r="F36" i="4"/>
  <c r="F37" i="4"/>
  <c r="F38" i="4"/>
  <c r="F39" i="4"/>
  <c r="F40" i="4"/>
  <c r="C68" i="29"/>
  <c r="F68" i="29" s="1"/>
  <c r="H68" i="29" s="1"/>
  <c r="C67" i="29"/>
  <c r="F67" i="29" s="1"/>
  <c r="H67" i="29" s="1"/>
  <c r="P38" i="4" l="1"/>
  <c r="P34" i="4"/>
  <c r="O32" i="4"/>
  <c r="P40" i="4"/>
  <c r="O38" i="4"/>
  <c r="O34" i="4"/>
  <c r="P42" i="4"/>
  <c r="O40" i="4"/>
  <c r="P36" i="4"/>
  <c r="O42" i="4"/>
  <c r="O36" i="4"/>
  <c r="P32" i="4"/>
  <c r="Q32" i="4" l="1"/>
  <c r="Q34" i="4"/>
  <c r="Q40" i="4"/>
  <c r="Q42" i="4"/>
  <c r="Q36" i="4"/>
  <c r="Q38" i="4"/>
  <c r="F105" i="13" l="1"/>
  <c r="F326" i="9" l="1"/>
  <c r="I326" i="9" s="1"/>
  <c r="F325" i="9"/>
  <c r="I325" i="9" s="1"/>
  <c r="F324" i="9"/>
  <c r="I324" i="9" s="1"/>
  <c r="F323" i="9"/>
  <c r="I323" i="9" s="1"/>
  <c r="K325" i="9" l="1"/>
  <c r="J325" i="9"/>
  <c r="L325" i="9" l="1"/>
  <c r="F328" i="9"/>
  <c r="I328" i="9" s="1"/>
  <c r="H109" i="14" l="1"/>
  <c r="D321" i="9" s="1"/>
  <c r="F321" i="9" s="1"/>
  <c r="H108" i="14"/>
  <c r="H113" i="14"/>
  <c r="D327" i="9" s="1"/>
  <c r="F327" i="9" s="1"/>
  <c r="I327" i="9" s="1"/>
  <c r="I113" i="14" s="1"/>
  <c r="H112" i="14"/>
  <c r="H111" i="14"/>
  <c r="D322" i="9" s="1"/>
  <c r="F322" i="9" s="1"/>
  <c r="I322" i="9" s="1"/>
  <c r="I111" i="14" s="1"/>
  <c r="H110" i="14"/>
  <c r="H107" i="14"/>
  <c r="D320" i="9" s="1"/>
  <c r="F320" i="9" s="1"/>
  <c r="I320" i="9" s="1"/>
  <c r="I107" i="14" s="1"/>
  <c r="H106" i="14"/>
  <c r="F319" i="9"/>
  <c r="I319" i="9" s="1"/>
  <c r="F318" i="9"/>
  <c r="I318" i="9" s="1"/>
  <c r="F317" i="9"/>
  <c r="I317" i="9" s="1"/>
  <c r="F316" i="9"/>
  <c r="I316" i="9" s="1"/>
  <c r="F315" i="9"/>
  <c r="I315" i="9" s="1"/>
  <c r="I321" i="9" l="1"/>
  <c r="I109" i="14" s="1"/>
  <c r="J108" i="14"/>
  <c r="K110" i="14"/>
  <c r="M110" i="14" s="1"/>
  <c r="K318" i="9"/>
  <c r="J318" i="9"/>
  <c r="K316" i="9"/>
  <c r="J316" i="9"/>
  <c r="J106" i="14"/>
  <c r="K106" i="14" s="1"/>
  <c r="N106" i="14" s="1"/>
  <c r="K108" i="14" l="1"/>
  <c r="O106" i="14" s="1"/>
  <c r="M106" i="14" s="1"/>
  <c r="L316" i="9"/>
  <c r="L318" i="9"/>
  <c r="K228" i="13"/>
  <c r="K227" i="13"/>
  <c r="K226" i="13"/>
  <c r="K225" i="13"/>
  <c r="K224" i="13"/>
  <c r="L226" i="13" l="1"/>
  <c r="P226" i="13" s="1"/>
  <c r="M226" i="13"/>
  <c r="M224" i="13"/>
  <c r="L224" i="13"/>
  <c r="K223" i="13"/>
  <c r="K222" i="13"/>
  <c r="K221" i="13"/>
  <c r="K220" i="13"/>
  <c r="K219" i="13"/>
  <c r="K218" i="13"/>
  <c r="M218" i="13" s="1"/>
  <c r="K217" i="13"/>
  <c r="K216" i="13"/>
  <c r="K215" i="13"/>
  <c r="K214" i="13"/>
  <c r="K213" i="13"/>
  <c r="K212" i="13"/>
  <c r="K211" i="13"/>
  <c r="K210" i="13"/>
  <c r="K209" i="13"/>
  <c r="K208" i="13"/>
  <c r="K207" i="13"/>
  <c r="K206" i="13"/>
  <c r="K205" i="13"/>
  <c r="K204" i="13"/>
  <c r="K203" i="13"/>
  <c r="K202" i="13"/>
  <c r="K201" i="13"/>
  <c r="K200" i="13"/>
  <c r="K199" i="13"/>
  <c r="K198" i="13"/>
  <c r="K197" i="13"/>
  <c r="K196" i="13"/>
  <c r="L196" i="13" s="1"/>
  <c r="K195" i="13"/>
  <c r="K194" i="13"/>
  <c r="K193" i="13"/>
  <c r="K192" i="13"/>
  <c r="K191" i="13"/>
  <c r="K190" i="13"/>
  <c r="M190" i="13" s="1"/>
  <c r="K189" i="13"/>
  <c r="K188" i="13"/>
  <c r="K187" i="13"/>
  <c r="K186" i="13"/>
  <c r="K185" i="13"/>
  <c r="K184" i="13"/>
  <c r="K183" i="13"/>
  <c r="K182" i="13"/>
  <c r="K181" i="13"/>
  <c r="K180" i="13"/>
  <c r="K179" i="13"/>
  <c r="K178" i="13"/>
  <c r="K177" i="13"/>
  <c r="K176" i="13"/>
  <c r="K175" i="13"/>
  <c r="K174" i="13"/>
  <c r="K173" i="13"/>
  <c r="K172" i="13"/>
  <c r="K171" i="13"/>
  <c r="K170" i="13"/>
  <c r="K169" i="13"/>
  <c r="K168" i="13"/>
  <c r="K167" i="13"/>
  <c r="K166" i="13"/>
  <c r="K165" i="13"/>
  <c r="K164" i="13"/>
  <c r="K163" i="13"/>
  <c r="K162" i="13"/>
  <c r="K161" i="13"/>
  <c r="K160" i="13"/>
  <c r="K159" i="13"/>
  <c r="K158" i="13"/>
  <c r="K157" i="13"/>
  <c r="K156" i="13"/>
  <c r="K155" i="13"/>
  <c r="K154" i="13"/>
  <c r="K153" i="13"/>
  <c r="K152" i="13"/>
  <c r="K151" i="13"/>
  <c r="K150" i="13"/>
  <c r="K149" i="13"/>
  <c r="K148" i="13"/>
  <c r="K147" i="13"/>
  <c r="K146" i="13"/>
  <c r="K145" i="13"/>
  <c r="K144" i="13"/>
  <c r="K143" i="13"/>
  <c r="K142" i="13"/>
  <c r="K141" i="13"/>
  <c r="K140" i="13"/>
  <c r="K139" i="13"/>
  <c r="K138" i="13"/>
  <c r="K137" i="13"/>
  <c r="K136" i="13"/>
  <c r="K135" i="13"/>
  <c r="K134" i="13"/>
  <c r="K133" i="13"/>
  <c r="K132" i="13"/>
  <c r="K131" i="13"/>
  <c r="K130" i="13"/>
  <c r="K129" i="13"/>
  <c r="K128" i="13"/>
  <c r="K127" i="13"/>
  <c r="K126" i="13"/>
  <c r="K125" i="13"/>
  <c r="K124" i="13"/>
  <c r="K123" i="13"/>
  <c r="K122" i="13"/>
  <c r="K121" i="13"/>
  <c r="K120" i="13"/>
  <c r="K119" i="13"/>
  <c r="K118" i="13"/>
  <c r="I117" i="13"/>
  <c r="K117" i="13" s="1"/>
  <c r="I116" i="13"/>
  <c r="K116" i="13" s="1"/>
  <c r="I115" i="13"/>
  <c r="K115" i="13" s="1"/>
  <c r="I114" i="13"/>
  <c r="K114" i="13" s="1"/>
  <c r="I113" i="13"/>
  <c r="K113" i="13" s="1"/>
  <c r="I112" i="13"/>
  <c r="K112" i="13" s="1"/>
  <c r="I111" i="13"/>
  <c r="K111" i="13" s="1"/>
  <c r="I110" i="13"/>
  <c r="K110" i="13" s="1"/>
  <c r="I109" i="13"/>
  <c r="K109" i="13" s="1"/>
  <c r="I108" i="13"/>
  <c r="K108" i="13" s="1"/>
  <c r="I107" i="13"/>
  <c r="K107" i="13" s="1"/>
  <c r="I106" i="13"/>
  <c r="K106" i="13" s="1"/>
  <c r="I105" i="13"/>
  <c r="K105" i="13" s="1"/>
  <c r="I104" i="13"/>
  <c r="K104" i="13" s="1"/>
  <c r="I103" i="13"/>
  <c r="K103" i="13" s="1"/>
  <c r="I102" i="13"/>
  <c r="K102" i="13" s="1"/>
  <c r="I101" i="13"/>
  <c r="K101" i="13" s="1"/>
  <c r="I100" i="13"/>
  <c r="K100" i="13" s="1"/>
  <c r="I99" i="13"/>
  <c r="K99" i="13" s="1"/>
  <c r="I98" i="13"/>
  <c r="K98" i="13" s="1"/>
  <c r="I97" i="13"/>
  <c r="K97" i="13" s="1"/>
  <c r="I96" i="13"/>
  <c r="K96" i="13" s="1"/>
  <c r="I95" i="13"/>
  <c r="K95" i="13" s="1"/>
  <c r="I94" i="13"/>
  <c r="K94" i="13" s="1"/>
  <c r="I93" i="13"/>
  <c r="K93" i="13" s="1"/>
  <c r="I92" i="13"/>
  <c r="K92" i="13" s="1"/>
  <c r="I91" i="13"/>
  <c r="K91" i="13" s="1"/>
  <c r="I90" i="13"/>
  <c r="K90" i="13" s="1"/>
  <c r="I89" i="13"/>
  <c r="K89" i="13" s="1"/>
  <c r="I88" i="13"/>
  <c r="K88" i="13" s="1"/>
  <c r="I87" i="13"/>
  <c r="K87" i="13" s="1"/>
  <c r="I86" i="13"/>
  <c r="K86" i="13" s="1"/>
  <c r="I85" i="13"/>
  <c r="K85" i="13" s="1"/>
  <c r="I84" i="13"/>
  <c r="K84" i="13" s="1"/>
  <c r="I83" i="13"/>
  <c r="K83" i="13" s="1"/>
  <c r="I82" i="13"/>
  <c r="K82" i="13" s="1"/>
  <c r="I81" i="13"/>
  <c r="K81" i="13" s="1"/>
  <c r="I80" i="13"/>
  <c r="K80" i="13" s="1"/>
  <c r="I79" i="13"/>
  <c r="K79" i="13" s="1"/>
  <c r="I78" i="13"/>
  <c r="K78" i="13" s="1"/>
  <c r="I77" i="13"/>
  <c r="K77" i="13" s="1"/>
  <c r="I76" i="13"/>
  <c r="K76" i="13" s="1"/>
  <c r="I75" i="13"/>
  <c r="K75" i="13" s="1"/>
  <c r="I74" i="13"/>
  <c r="K74" i="13" s="1"/>
  <c r="I73" i="13"/>
  <c r="K73" i="13" s="1"/>
  <c r="I72" i="13"/>
  <c r="K72" i="13" s="1"/>
  <c r="I71" i="13"/>
  <c r="K71" i="13" s="1"/>
  <c r="I70" i="13"/>
  <c r="K70" i="13" s="1"/>
  <c r="I69" i="13"/>
  <c r="K69" i="13" s="1"/>
  <c r="I68" i="13"/>
  <c r="K68" i="13" s="1"/>
  <c r="I67" i="13"/>
  <c r="K67" i="13" s="1"/>
  <c r="I66" i="13"/>
  <c r="K66" i="13" s="1"/>
  <c r="I65" i="13"/>
  <c r="K65" i="13" s="1"/>
  <c r="I64" i="13"/>
  <c r="K64" i="13" s="1"/>
  <c r="I63" i="13"/>
  <c r="K63" i="13" s="1"/>
  <c r="I62" i="13"/>
  <c r="K62" i="13" s="1"/>
  <c r="I61" i="13"/>
  <c r="K61" i="13" s="1"/>
  <c r="I60" i="13"/>
  <c r="K60" i="13" s="1"/>
  <c r="I59" i="13"/>
  <c r="K59" i="13" s="1"/>
  <c r="I58" i="13"/>
  <c r="K58" i="13" s="1"/>
  <c r="I57" i="13"/>
  <c r="K57" i="13" s="1"/>
  <c r="I56" i="13"/>
  <c r="K56" i="13" s="1"/>
  <c r="I55" i="13"/>
  <c r="K55" i="13" s="1"/>
  <c r="I54" i="13"/>
  <c r="K54" i="13" s="1"/>
  <c r="I53" i="13"/>
  <c r="K53" i="13" s="1"/>
  <c r="I52" i="13"/>
  <c r="K52" i="13" s="1"/>
  <c r="I51" i="13"/>
  <c r="K51" i="13" s="1"/>
  <c r="I50" i="13"/>
  <c r="K50" i="13" s="1"/>
  <c r="I49" i="13"/>
  <c r="K49" i="13" s="1"/>
  <c r="I48" i="13"/>
  <c r="K48" i="13" s="1"/>
  <c r="I47" i="13"/>
  <c r="K47" i="13" s="1"/>
  <c r="I46" i="13"/>
  <c r="K46" i="13" s="1"/>
  <c r="I45" i="13"/>
  <c r="K45" i="13" s="1"/>
  <c r="I44" i="13"/>
  <c r="K44" i="13" s="1"/>
  <c r="I43" i="13"/>
  <c r="K43" i="13" s="1"/>
  <c r="I42" i="13"/>
  <c r="K42" i="13" s="1"/>
  <c r="I41" i="13"/>
  <c r="K41" i="13" s="1"/>
  <c r="I40" i="13"/>
  <c r="K40" i="13" s="1"/>
  <c r="I39" i="13"/>
  <c r="K39" i="13" s="1"/>
  <c r="I38" i="13"/>
  <c r="K38" i="13" s="1"/>
  <c r="I37" i="13"/>
  <c r="K37" i="13" s="1"/>
  <c r="I36" i="13"/>
  <c r="K36" i="13" s="1"/>
  <c r="I35" i="13"/>
  <c r="F35" i="13"/>
  <c r="I34" i="13"/>
  <c r="F34" i="13"/>
  <c r="I33" i="13"/>
  <c r="F33" i="13"/>
  <c r="I32" i="13"/>
  <c r="F32" i="13"/>
  <c r="I31" i="13"/>
  <c r="K31" i="13" s="1"/>
  <c r="I30" i="13"/>
  <c r="K30" i="13" s="1"/>
  <c r="I29" i="13"/>
  <c r="K29" i="13" s="1"/>
  <c r="I28" i="13"/>
  <c r="K28" i="13" s="1"/>
  <c r="I27" i="13"/>
  <c r="K27" i="13" s="1"/>
  <c r="I26" i="13"/>
  <c r="K26" i="13" s="1"/>
  <c r="I25" i="13"/>
  <c r="K25" i="13" s="1"/>
  <c r="I24" i="13"/>
  <c r="K24" i="13" s="1"/>
  <c r="I23" i="13"/>
  <c r="K23" i="13" s="1"/>
  <c r="I22" i="13"/>
  <c r="K22" i="13" s="1"/>
  <c r="I21" i="13"/>
  <c r="K21" i="13" s="1"/>
  <c r="I20" i="13"/>
  <c r="K20" i="13" s="1"/>
  <c r="I19" i="13"/>
  <c r="K19" i="13" s="1"/>
  <c r="I18" i="13"/>
  <c r="K18" i="13" s="1"/>
  <c r="I17" i="13"/>
  <c r="K17" i="13" s="1"/>
  <c r="I16" i="13"/>
  <c r="K16" i="13" s="1"/>
  <c r="I15" i="13"/>
  <c r="K15" i="13" s="1"/>
  <c r="I14" i="13"/>
  <c r="K14" i="13" s="1"/>
  <c r="I13" i="13"/>
  <c r="K13" i="13" s="1"/>
  <c r="I12" i="13"/>
  <c r="K12" i="13" s="1"/>
  <c r="I11" i="13"/>
  <c r="K11" i="13" s="1"/>
  <c r="I10" i="13"/>
  <c r="K10" i="13" s="1"/>
  <c r="I9" i="13"/>
  <c r="F9" i="13"/>
  <c r="I8" i="13"/>
  <c r="K8" i="13" s="1"/>
  <c r="I7" i="13"/>
  <c r="K7" i="13" s="1"/>
  <c r="I6" i="13"/>
  <c r="K6" i="13" s="1"/>
  <c r="M200" i="13" l="1"/>
  <c r="M204" i="13"/>
  <c r="M208" i="13"/>
  <c r="M212" i="13"/>
  <c r="M216" i="13"/>
  <c r="M220" i="13"/>
  <c r="K35" i="13"/>
  <c r="K34" i="13"/>
  <c r="M182" i="13"/>
  <c r="M140" i="13"/>
  <c r="M171" i="13"/>
  <c r="L134" i="13"/>
  <c r="N226" i="13"/>
  <c r="M132" i="13"/>
  <c r="L140" i="13"/>
  <c r="L171" i="13"/>
  <c r="M196" i="13"/>
  <c r="N196" i="13" s="1"/>
  <c r="K32" i="13"/>
  <c r="M164" i="13"/>
  <c r="M175" i="13"/>
  <c r="M186" i="13"/>
  <c r="L132" i="13"/>
  <c r="N132" i="13" s="1"/>
  <c r="M138" i="13"/>
  <c r="M145" i="13"/>
  <c r="L190" i="13"/>
  <c r="N190" i="13" s="1"/>
  <c r="P12" i="13"/>
  <c r="M118" i="13"/>
  <c r="M122" i="13"/>
  <c r="M126" i="13"/>
  <c r="M130" i="13"/>
  <c r="M142" i="13"/>
  <c r="M162" i="13"/>
  <c r="M173" i="13"/>
  <c r="M177" i="13"/>
  <c r="M184" i="13"/>
  <c r="M198" i="13"/>
  <c r="M202" i="13"/>
  <c r="M206" i="13"/>
  <c r="M210" i="13"/>
  <c r="M214" i="13"/>
  <c r="M222" i="13"/>
  <c r="N224" i="13"/>
  <c r="M136" i="13"/>
  <c r="M147" i="13"/>
  <c r="M159" i="13"/>
  <c r="P16" i="13"/>
  <c r="P11" i="13"/>
  <c r="P18" i="13"/>
  <c r="K33" i="13"/>
  <c r="L126" i="13"/>
  <c r="M155" i="13"/>
  <c r="L164" i="13"/>
  <c r="M167" i="13"/>
  <c r="L177" i="13"/>
  <c r="M180" i="13"/>
  <c r="M192" i="13"/>
  <c r="L198" i="13"/>
  <c r="L204" i="13"/>
  <c r="N204" i="13" s="1"/>
  <c r="L206" i="13"/>
  <c r="L212" i="13"/>
  <c r="N212" i="13" s="1"/>
  <c r="L214" i="13"/>
  <c r="L220" i="13"/>
  <c r="N220" i="13" s="1"/>
  <c r="L222" i="13"/>
  <c r="K9" i="13"/>
  <c r="P15" i="13"/>
  <c r="L145" i="13"/>
  <c r="L159" i="13"/>
  <c r="L188" i="13"/>
  <c r="M128" i="13"/>
  <c r="M134" i="13"/>
  <c r="L155" i="13"/>
  <c r="M169" i="13"/>
  <c r="L182" i="13"/>
  <c r="N182" i="13" s="1"/>
  <c r="M188" i="13"/>
  <c r="M194" i="13"/>
  <c r="P14" i="13"/>
  <c r="P17" i="13"/>
  <c r="P10" i="13"/>
  <c r="P13" i="13"/>
  <c r="L122" i="13"/>
  <c r="L128" i="13"/>
  <c r="L136" i="13"/>
  <c r="L142" i="13"/>
  <c r="P140" i="13" s="1"/>
  <c r="L147" i="13"/>
  <c r="L162" i="13"/>
  <c r="L167" i="13"/>
  <c r="L173" i="13"/>
  <c r="L184" i="13"/>
  <c r="L192" i="13"/>
  <c r="L200" i="13"/>
  <c r="L208" i="13"/>
  <c r="N208" i="13" s="1"/>
  <c r="L216" i="13"/>
  <c r="L118" i="13"/>
  <c r="L130" i="13"/>
  <c r="L138" i="13"/>
  <c r="N138" i="13" s="1"/>
  <c r="L169" i="13"/>
  <c r="L175" i="13"/>
  <c r="L180" i="13"/>
  <c r="L186" i="13"/>
  <c r="L194" i="13"/>
  <c r="L202" i="13"/>
  <c r="L210" i="13"/>
  <c r="L218" i="13"/>
  <c r="N218" i="13" s="1"/>
  <c r="N216" i="13" l="1"/>
  <c r="N200" i="13"/>
  <c r="N186" i="13"/>
  <c r="P171" i="13"/>
  <c r="N171" i="13"/>
  <c r="N134" i="13"/>
  <c r="N210" i="13"/>
  <c r="N180" i="13"/>
  <c r="N136" i="13"/>
  <c r="N140" i="13"/>
  <c r="P175" i="13"/>
  <c r="N118" i="13"/>
  <c r="N128" i="13"/>
  <c r="N184" i="13"/>
  <c r="N164" i="13"/>
  <c r="N145" i="13"/>
  <c r="N167" i="13"/>
  <c r="N159" i="13"/>
  <c r="N222" i="13"/>
  <c r="N130" i="13"/>
  <c r="N206" i="13"/>
  <c r="N202" i="13"/>
  <c r="N192" i="13"/>
  <c r="P162" i="13"/>
  <c r="N188" i="13"/>
  <c r="N177" i="13"/>
  <c r="N194" i="13"/>
  <c r="N169" i="13"/>
  <c r="N147" i="13"/>
  <c r="N122" i="13"/>
  <c r="N214" i="13"/>
  <c r="N198" i="13"/>
  <c r="N126" i="13"/>
  <c r="P145" i="13"/>
  <c r="N155" i="13"/>
  <c r="P182" i="13"/>
  <c r="N142" i="13"/>
  <c r="N175" i="13"/>
  <c r="N173" i="13"/>
  <c r="N162" i="13"/>
  <c r="F314" i="9" l="1"/>
  <c r="I314" i="9" s="1"/>
  <c r="F313" i="9"/>
  <c r="I313" i="9" s="1"/>
  <c r="F312" i="9"/>
  <c r="I312" i="9" s="1"/>
  <c r="J313" i="9" l="1"/>
  <c r="K313" i="9"/>
  <c r="F311" i="9"/>
  <c r="I311" i="9" s="1"/>
  <c r="F310" i="9"/>
  <c r="I310" i="9" s="1"/>
  <c r="L313" i="9" l="1"/>
  <c r="K31" i="4" l="1"/>
  <c r="L31" i="4" s="1"/>
  <c r="M31" i="4" s="1"/>
  <c r="N31" i="4" s="1"/>
  <c r="K30" i="4"/>
  <c r="L30" i="4" s="1"/>
  <c r="M30" i="4" s="1"/>
  <c r="K29" i="4"/>
  <c r="L29" i="4" s="1"/>
  <c r="M29" i="4" s="1"/>
  <c r="N29" i="4" s="1"/>
  <c r="K28" i="4"/>
  <c r="L28" i="4" s="1"/>
  <c r="M28" i="4" s="1"/>
  <c r="N28" i="4" s="1"/>
  <c r="K27" i="4"/>
  <c r="L27" i="4" s="1"/>
  <c r="M27" i="4" s="1"/>
  <c r="N27" i="4" s="1"/>
  <c r="K26" i="4"/>
  <c r="L26" i="4" s="1"/>
  <c r="M26" i="4" s="1"/>
  <c r="N26" i="4" s="1"/>
  <c r="K25" i="4"/>
  <c r="L25" i="4" s="1"/>
  <c r="M25" i="4" s="1"/>
  <c r="N25" i="4" s="1"/>
  <c r="K24" i="4"/>
  <c r="L24" i="4" s="1"/>
  <c r="M24" i="4" s="1"/>
  <c r="N24" i="4" s="1"/>
  <c r="K23" i="4"/>
  <c r="L23" i="4" s="1"/>
  <c r="M23" i="4" s="1"/>
  <c r="N23" i="4" s="1"/>
  <c r="K22" i="4"/>
  <c r="L22" i="4" s="1"/>
  <c r="M22" i="4" s="1"/>
  <c r="N22" i="4" s="1"/>
  <c r="K21" i="4"/>
  <c r="L21" i="4" s="1"/>
  <c r="M21" i="4" s="1"/>
  <c r="N21" i="4" s="1"/>
  <c r="K20" i="4"/>
  <c r="L20" i="4" s="1"/>
  <c r="M20" i="4" s="1"/>
  <c r="N20" i="4" s="1"/>
  <c r="F20" i="4"/>
  <c r="F21" i="4"/>
  <c r="F22" i="4"/>
  <c r="F23" i="4"/>
  <c r="F24" i="4"/>
  <c r="F25" i="4"/>
  <c r="F26" i="4"/>
  <c r="F27" i="4"/>
  <c r="F28" i="4"/>
  <c r="F29" i="4"/>
  <c r="F30" i="4"/>
  <c r="F31" i="4"/>
  <c r="F309" i="9"/>
  <c r="I309" i="9" s="1"/>
  <c r="O30" i="4" l="1"/>
  <c r="N30" i="4"/>
  <c r="P28" i="4"/>
  <c r="O24" i="4"/>
  <c r="P30" i="4"/>
  <c r="Q30" i="4" s="1"/>
  <c r="P24" i="4"/>
  <c r="O22" i="4"/>
  <c r="O28" i="4"/>
  <c r="O20" i="4"/>
  <c r="P22" i="4"/>
  <c r="O26" i="4"/>
  <c r="P26" i="4"/>
  <c r="P20" i="4"/>
  <c r="Q20" i="4" s="1"/>
  <c r="C63" i="29"/>
  <c r="F63" i="29" s="1"/>
  <c r="H63" i="29" s="1"/>
  <c r="C62" i="29"/>
  <c r="F62" i="29" s="1"/>
  <c r="H62" i="29" s="1"/>
  <c r="Q28" i="4" l="1"/>
  <c r="Q26" i="4"/>
  <c r="Q22" i="4"/>
  <c r="Q24" i="4"/>
  <c r="H105" i="14"/>
  <c r="D308" i="9" s="1"/>
  <c r="F308" i="9" s="1"/>
  <c r="I308" i="9" s="1"/>
  <c r="I105" i="14" s="1"/>
  <c r="H104" i="14"/>
  <c r="H103" i="14"/>
  <c r="D307" i="9" s="1"/>
  <c r="F307" i="9" s="1"/>
  <c r="I307" i="9" s="1"/>
  <c r="I103" i="14" s="1"/>
  <c r="H102" i="14"/>
  <c r="F306" i="9"/>
  <c r="I306" i="9" s="1"/>
  <c r="F305" i="9"/>
  <c r="I305" i="9" s="1"/>
  <c r="F304" i="9"/>
  <c r="I304" i="9" s="1"/>
  <c r="F303" i="9"/>
  <c r="I303" i="9" s="1"/>
  <c r="F302" i="9"/>
  <c r="I302" i="9" s="1"/>
  <c r="F301" i="9"/>
  <c r="I301" i="9" s="1"/>
  <c r="F300" i="9"/>
  <c r="I300" i="9" s="1"/>
  <c r="F299" i="9"/>
  <c r="I299" i="9" s="1"/>
  <c r="F298" i="9"/>
  <c r="I298" i="9" s="1"/>
  <c r="F297" i="9"/>
  <c r="I297" i="9" s="1"/>
  <c r="F292" i="9" l="1"/>
  <c r="I292" i="9" s="1"/>
  <c r="F293" i="9"/>
  <c r="I293" i="9" s="1"/>
  <c r="F294" i="9"/>
  <c r="I294" i="9" s="1"/>
  <c r="F295" i="9"/>
  <c r="I295" i="9" s="1"/>
  <c r="F296" i="9"/>
  <c r="I296" i="9" s="1"/>
  <c r="H101" i="14"/>
  <c r="D291" i="9" s="1"/>
  <c r="F291" i="9" s="1"/>
  <c r="I291" i="9" s="1"/>
  <c r="I101" i="14" s="1"/>
  <c r="H100" i="14"/>
  <c r="K100" i="14" l="1"/>
  <c r="M100" i="14" s="1"/>
  <c r="F290" i="9"/>
  <c r="I290" i="9" s="1"/>
  <c r="F288" i="9" l="1"/>
  <c r="I288" i="9" s="1"/>
  <c r="F289" i="9"/>
  <c r="I289" i="9" s="1"/>
  <c r="F287" i="9" l="1"/>
  <c r="I287" i="9" s="1"/>
  <c r="F286" i="9" l="1"/>
  <c r="I286" i="9" s="1"/>
  <c r="F285" i="9"/>
  <c r="I285" i="9" s="1"/>
  <c r="F284" i="9" l="1"/>
  <c r="I284" i="9" s="1"/>
  <c r="F283" i="9"/>
  <c r="I283" i="9" s="1"/>
  <c r="F282" i="9"/>
  <c r="I282" i="9" s="1"/>
  <c r="F281" i="9" l="1"/>
  <c r="I281" i="9" s="1"/>
  <c r="F280" i="9"/>
  <c r="I280" i="9" s="1"/>
  <c r="F279" i="9"/>
  <c r="I279" i="9" s="1"/>
  <c r="F278" i="9"/>
  <c r="I278" i="9" s="1"/>
  <c r="F277" i="9" l="1"/>
  <c r="I277" i="9" s="1"/>
  <c r="H99" i="14" l="1"/>
  <c r="D276" i="9" s="1"/>
  <c r="F276" i="9" s="1"/>
  <c r="I276" i="9" s="1"/>
  <c r="I99" i="14" s="1"/>
  <c r="H98" i="14"/>
  <c r="H97" i="14"/>
  <c r="D275" i="9" s="1"/>
  <c r="F275" i="9" s="1"/>
  <c r="I275" i="9" s="1"/>
  <c r="I97" i="14" s="1"/>
  <c r="H96" i="14"/>
  <c r="H95" i="14"/>
  <c r="D274" i="9" s="1"/>
  <c r="F274" i="9" s="1"/>
  <c r="I274" i="9" s="1"/>
  <c r="I95" i="14" s="1"/>
  <c r="H94" i="14"/>
  <c r="F273" i="9" l="1"/>
  <c r="I273" i="9" s="1"/>
  <c r="F272" i="9"/>
  <c r="I272" i="9" s="1"/>
  <c r="I301" i="2" l="1"/>
  <c r="F271" i="9" l="1"/>
  <c r="I271" i="9" s="1"/>
  <c r="I304" i="2"/>
  <c r="F270" i="9" l="1"/>
  <c r="I270" i="9" s="1"/>
  <c r="F269" i="9"/>
  <c r="I269" i="9" s="1"/>
  <c r="F268" i="9"/>
  <c r="I268" i="9" s="1"/>
  <c r="F266" i="9"/>
  <c r="I266" i="9" s="1"/>
  <c r="F267" i="9"/>
  <c r="I267" i="9" s="1"/>
  <c r="I302" i="2" l="1"/>
  <c r="I303" i="2"/>
  <c r="K302" i="2" l="1"/>
  <c r="J302" i="2"/>
  <c r="I300" i="2"/>
  <c r="I299" i="2"/>
  <c r="I298" i="2"/>
  <c r="I297" i="2"/>
  <c r="I296" i="2"/>
  <c r="L302" i="2" l="1"/>
  <c r="K299" i="2"/>
  <c r="J299" i="2"/>
  <c r="L299" i="2" l="1"/>
  <c r="I295" i="2"/>
  <c r="I294" i="2"/>
  <c r="I293" i="2"/>
  <c r="I292" i="2"/>
  <c r="I291" i="2"/>
  <c r="I290" i="2"/>
  <c r="I289" i="2"/>
  <c r="I288" i="2"/>
  <c r="I287" i="2"/>
  <c r="I286" i="2"/>
  <c r="I285" i="2"/>
  <c r="I284" i="2"/>
  <c r="I283" i="2"/>
  <c r="I282" i="2"/>
  <c r="F265" i="9"/>
  <c r="I265" i="9" s="1"/>
  <c r="F264" i="9"/>
  <c r="I264" i="9" s="1"/>
  <c r="F263" i="9"/>
  <c r="I263" i="9" s="1"/>
  <c r="F262" i="9"/>
  <c r="I262" i="9" s="1"/>
  <c r="F261" i="9"/>
  <c r="I261" i="9" s="1"/>
  <c r="F260" i="9"/>
  <c r="I260" i="9" s="1"/>
  <c r="F259" i="9"/>
  <c r="I259" i="9" s="1"/>
  <c r="F257" i="9" l="1"/>
  <c r="I257" i="9" s="1"/>
  <c r="F258" i="9"/>
  <c r="I258" i="9" s="1"/>
  <c r="I281" i="2"/>
  <c r="F253" i="9" l="1"/>
  <c r="F254" i="9"/>
  <c r="F255" i="9"/>
  <c r="I255" i="9" s="1"/>
  <c r="F256" i="9"/>
  <c r="I256" i="9" s="1"/>
  <c r="K19" i="4"/>
  <c r="L19" i="4" s="1"/>
  <c r="M19" i="4" s="1"/>
  <c r="N19" i="4" s="1"/>
  <c r="K18" i="4"/>
  <c r="L18" i="4" s="1"/>
  <c r="M18" i="4" s="1"/>
  <c r="N18" i="4" s="1"/>
  <c r="F18" i="4"/>
  <c r="F19" i="4"/>
  <c r="C44" i="29"/>
  <c r="C43" i="29"/>
  <c r="C42" i="29"/>
  <c r="C41" i="29"/>
  <c r="C40" i="29"/>
  <c r="C39" i="29"/>
  <c r="J253" i="9" l="1"/>
  <c r="K253" i="9"/>
  <c r="K255" i="9"/>
  <c r="J255" i="9"/>
  <c r="O18" i="4"/>
  <c r="P18" i="4"/>
  <c r="I280" i="2"/>
  <c r="I277" i="2"/>
  <c r="I278" i="2"/>
  <c r="I279" i="2"/>
  <c r="F252" i="9"/>
  <c r="I252" i="9" s="1"/>
  <c r="L253" i="9" l="1"/>
  <c r="L255" i="9"/>
  <c r="Q18" i="4"/>
  <c r="K279" i="2"/>
  <c r="J279" i="2"/>
  <c r="K277" i="2"/>
  <c r="J277" i="2"/>
  <c r="L279" i="2" l="1"/>
  <c r="L277" i="2"/>
  <c r="H93" i="14" l="1"/>
  <c r="D251" i="9" s="1"/>
  <c r="F251" i="9" s="1"/>
  <c r="I251" i="9" s="1"/>
  <c r="I93" i="14" s="1"/>
  <c r="H92" i="14"/>
  <c r="H91" i="14"/>
  <c r="D250" i="9" s="1"/>
  <c r="F250" i="9" s="1"/>
  <c r="I250" i="9" s="1"/>
  <c r="I91" i="14" s="1"/>
  <c r="H90" i="14"/>
  <c r="H89" i="14" l="1"/>
  <c r="D249" i="9" s="1"/>
  <c r="F249" i="9" s="1"/>
  <c r="I249" i="9" s="1"/>
  <c r="I89" i="14" s="1"/>
  <c r="H88" i="14"/>
  <c r="F248" i="9" l="1"/>
  <c r="I248" i="9" s="1"/>
  <c r="F247" i="9"/>
  <c r="I247" i="9" s="1"/>
  <c r="I273" i="2" l="1"/>
  <c r="F246" i="9"/>
  <c r="I246" i="9" s="1"/>
  <c r="F245" i="9"/>
  <c r="I245" i="9" s="1"/>
  <c r="F243" i="9" l="1"/>
  <c r="I243" i="9" s="1"/>
  <c r="F242" i="9"/>
  <c r="I242" i="9" s="1"/>
  <c r="H274" i="2" l="1"/>
  <c r="I274" i="2" s="1"/>
  <c r="H276" i="2"/>
  <c r="I276" i="2" s="1"/>
  <c r="H275" i="2"/>
  <c r="I275" i="2" s="1"/>
  <c r="H260" i="2" l="1"/>
  <c r="F241" i="9" l="1"/>
  <c r="I241" i="9" s="1"/>
  <c r="I270" i="2" l="1"/>
  <c r="I271" i="2"/>
  <c r="I272" i="2"/>
  <c r="F240" i="9" l="1"/>
  <c r="I240" i="9" s="1"/>
  <c r="F239" i="9"/>
  <c r="I239" i="9" s="1"/>
  <c r="F244" i="9"/>
  <c r="I244" i="9" s="1"/>
  <c r="F238" i="9"/>
  <c r="I238" i="9" s="1"/>
  <c r="H267" i="2" l="1"/>
  <c r="I267" i="2" s="1"/>
  <c r="H269" i="2"/>
  <c r="I269" i="2" s="1"/>
  <c r="H268" i="2"/>
  <c r="I268" i="2" s="1"/>
  <c r="I266" i="2"/>
  <c r="I265" i="2"/>
  <c r="I264" i="2"/>
  <c r="I263" i="2"/>
  <c r="I262" i="2"/>
  <c r="I261" i="2"/>
  <c r="H258" i="2" l="1"/>
  <c r="H259" i="2"/>
  <c r="I260" i="2" l="1"/>
  <c r="I259" i="2"/>
  <c r="I258" i="2"/>
  <c r="I257" i="2"/>
  <c r="I256" i="2"/>
  <c r="I255" i="2"/>
  <c r="I254" i="2" l="1"/>
  <c r="F237" i="9" l="1"/>
  <c r="I237" i="9" s="1"/>
  <c r="F236" i="9"/>
  <c r="I236" i="9" s="1"/>
  <c r="F235" i="9" l="1"/>
  <c r="I235" i="9" s="1"/>
  <c r="I247" i="2" l="1"/>
  <c r="I246" i="2"/>
  <c r="I245" i="2"/>
  <c r="I244" i="2"/>
  <c r="H251" i="2" l="1"/>
  <c r="H250" i="2"/>
  <c r="H249" i="2"/>
  <c r="H253" i="2"/>
  <c r="H252" i="2"/>
  <c r="H248" i="2" l="1"/>
  <c r="I253" i="2"/>
  <c r="I250" i="2"/>
  <c r="I252" i="2"/>
  <c r="I249" i="2"/>
  <c r="I251" i="2"/>
  <c r="I248" i="2" l="1"/>
  <c r="H87" i="14"/>
  <c r="D234" i="9" s="1"/>
  <c r="F234" i="9" s="1"/>
  <c r="I234" i="9" s="1"/>
  <c r="I87" i="14" s="1"/>
  <c r="H86" i="14"/>
  <c r="F233" i="9"/>
  <c r="I233" i="9" s="1"/>
  <c r="F232" i="9"/>
  <c r="I232" i="9" s="1"/>
  <c r="F231" i="9"/>
  <c r="I231" i="9" s="1"/>
  <c r="F230" i="9"/>
  <c r="I230" i="9" s="1"/>
  <c r="F229" i="9"/>
  <c r="I229" i="9" s="1"/>
  <c r="F228" i="9"/>
  <c r="I228" i="9" s="1"/>
  <c r="F11" i="4" l="1"/>
  <c r="F12" i="4"/>
  <c r="F13" i="4"/>
  <c r="F14" i="4"/>
  <c r="F15" i="4"/>
  <c r="F16" i="4"/>
  <c r="F17" i="4"/>
  <c r="K12" i="4"/>
  <c r="L12" i="4" s="1"/>
  <c r="M12" i="4" s="1"/>
  <c r="K13" i="4"/>
  <c r="L13" i="4" s="1"/>
  <c r="M13" i="4" s="1"/>
  <c r="N13" i="4" s="1"/>
  <c r="K14" i="4"/>
  <c r="L14" i="4" s="1"/>
  <c r="M14" i="4" s="1"/>
  <c r="N14" i="4" s="1"/>
  <c r="K15" i="4"/>
  <c r="L15" i="4" s="1"/>
  <c r="M15" i="4" s="1"/>
  <c r="N15" i="4" s="1"/>
  <c r="K16" i="4"/>
  <c r="L16" i="4" s="1"/>
  <c r="M16" i="4" s="1"/>
  <c r="K17" i="4"/>
  <c r="L17" i="4" s="1"/>
  <c r="M17" i="4" s="1"/>
  <c r="N17" i="4" s="1"/>
  <c r="K11" i="4"/>
  <c r="L11" i="4" s="1"/>
  <c r="M11" i="4" s="1"/>
  <c r="N11" i="4" s="1"/>
  <c r="K10" i="4"/>
  <c r="L10" i="4" s="1"/>
  <c r="M10" i="4" s="1"/>
  <c r="C29" i="29"/>
  <c r="C28" i="29"/>
  <c r="C27" i="29"/>
  <c r="C26" i="29"/>
  <c r="C25" i="29"/>
  <c r="C24" i="29"/>
  <c r="F10" i="4"/>
  <c r="N10" i="4" l="1"/>
  <c r="P10" i="4"/>
  <c r="O10" i="4"/>
  <c r="N16" i="4"/>
  <c r="P16" i="4"/>
  <c r="O16" i="4"/>
  <c r="N12" i="4"/>
  <c r="O12" i="4"/>
  <c r="P12" i="4"/>
  <c r="P14" i="4"/>
  <c r="O14" i="4"/>
  <c r="F227" i="9"/>
  <c r="I227" i="9" s="1"/>
  <c r="Q14" i="4" l="1"/>
  <c r="Q10" i="4"/>
  <c r="Q12" i="4"/>
  <c r="Q16" i="4"/>
  <c r="H83" i="14"/>
  <c r="D224" i="9" s="1"/>
  <c r="F224" i="9" s="1"/>
  <c r="I224" i="9" s="1"/>
  <c r="I83" i="14" s="1"/>
  <c r="H82" i="14"/>
  <c r="I243" i="2"/>
  <c r="F226" i="9"/>
  <c r="I226" i="9" s="1"/>
  <c r="H85" i="14"/>
  <c r="D225" i="9" s="1"/>
  <c r="F225" i="9" s="1"/>
  <c r="I225" i="9" s="1"/>
  <c r="I85" i="14" s="1"/>
  <c r="H84" i="14"/>
  <c r="H81" i="14"/>
  <c r="D223" i="9" s="1"/>
  <c r="F223" i="9" s="1"/>
  <c r="I223" i="9" s="1"/>
  <c r="I81" i="14" s="1"/>
  <c r="H80" i="14"/>
  <c r="J82" i="14" l="1"/>
  <c r="K82" i="14" s="1"/>
  <c r="F222" i="9"/>
  <c r="I222" i="9" s="1"/>
  <c r="I242" i="2"/>
  <c r="I241" i="2"/>
  <c r="I240" i="2"/>
  <c r="I235" i="2"/>
  <c r="I236" i="2"/>
  <c r="I237" i="2"/>
  <c r="I238" i="2"/>
  <c r="I239" i="2"/>
  <c r="F221" i="9" l="1"/>
  <c r="I221" i="9" s="1"/>
  <c r="F220" i="9"/>
  <c r="I220" i="9" s="1"/>
  <c r="F219" i="9"/>
  <c r="I219" i="9" s="1"/>
  <c r="F218" i="9"/>
  <c r="I218" i="9" s="1"/>
  <c r="F217" i="9"/>
  <c r="I217" i="9" s="1"/>
  <c r="F216" i="9"/>
  <c r="I216" i="9" s="1"/>
  <c r="F215" i="9"/>
  <c r="I215" i="9" s="1"/>
  <c r="F214" i="9"/>
  <c r="I214" i="9" s="1"/>
  <c r="F213" i="9"/>
  <c r="I213" i="9" s="1"/>
  <c r="I234" i="2"/>
  <c r="H231" i="2" l="1"/>
  <c r="I231" i="2" s="1"/>
  <c r="H225" i="2" l="1"/>
  <c r="I225" i="2" s="1"/>
  <c r="H232" i="2"/>
  <c r="I232" i="2" s="1"/>
  <c r="I224" i="2"/>
  <c r="I223" i="2"/>
  <c r="F212" i="9" l="1"/>
  <c r="I212" i="9" s="1"/>
  <c r="H76" i="14"/>
  <c r="H79" i="14"/>
  <c r="D211" i="9" s="1"/>
  <c r="F211" i="9" s="1"/>
  <c r="I211" i="9" s="1"/>
  <c r="I79" i="14" s="1"/>
  <c r="H78" i="14"/>
  <c r="H77" i="14"/>
  <c r="D210" i="9" s="1"/>
  <c r="F210" i="9" s="1"/>
  <c r="I210" i="9" s="1"/>
  <c r="I77" i="14" s="1"/>
  <c r="H75" i="14"/>
  <c r="D209" i="9" s="1"/>
  <c r="F209" i="9" s="1"/>
  <c r="I209" i="9" s="1"/>
  <c r="I75" i="14" s="1"/>
  <c r="H74" i="14"/>
  <c r="F208" i="9"/>
  <c r="I208" i="9" s="1"/>
  <c r="F207" i="9"/>
  <c r="I207" i="9" s="1"/>
  <c r="F206" i="9"/>
  <c r="I206" i="9" s="1"/>
  <c r="I222" i="2"/>
  <c r="I221" i="2"/>
  <c r="I220" i="2"/>
  <c r="F203" i="9" l="1"/>
  <c r="I203" i="9" s="1"/>
  <c r="F204" i="9"/>
  <c r="I204" i="9" s="1"/>
  <c r="F205" i="9"/>
  <c r="I205" i="9" s="1"/>
  <c r="I219" i="2"/>
  <c r="I218" i="2"/>
  <c r="I217" i="2"/>
  <c r="I215" i="2" l="1"/>
  <c r="I216" i="2"/>
  <c r="I214" i="2"/>
  <c r="H73" i="14" l="1"/>
  <c r="D202" i="9" s="1"/>
  <c r="F202" i="9" s="1"/>
  <c r="I202" i="9" s="1"/>
  <c r="I73" i="14" s="1"/>
  <c r="H72" i="14"/>
  <c r="I213" i="2" l="1"/>
  <c r="H210" i="2" l="1"/>
  <c r="I210" i="2" s="1"/>
  <c r="H211" i="2"/>
  <c r="I211" i="2" s="1"/>
  <c r="H212" i="2"/>
  <c r="I212" i="2" s="1"/>
  <c r="F201" i="9" l="1"/>
  <c r="I201" i="9" s="1"/>
  <c r="F199" i="9" l="1"/>
  <c r="I199" i="9" s="1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51" i="2"/>
  <c r="I52" i="2"/>
  <c r="I53" i="2"/>
  <c r="I54" i="2"/>
  <c r="I55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80" i="2"/>
  <c r="I81" i="2"/>
  <c r="I82" i="2"/>
  <c r="I83" i="2"/>
  <c r="I84" i="2"/>
  <c r="I85" i="2"/>
  <c r="I86" i="2"/>
  <c r="I87" i="2"/>
  <c r="I88" i="2"/>
  <c r="I89" i="2"/>
  <c r="I90" i="2"/>
  <c r="I91" i="2"/>
  <c r="I92" i="2"/>
  <c r="I93" i="2"/>
  <c r="I94" i="2"/>
  <c r="I95" i="2"/>
  <c r="I96" i="2"/>
  <c r="I97" i="2"/>
  <c r="I98" i="2"/>
  <c r="I99" i="2"/>
  <c r="I100" i="2"/>
  <c r="I101" i="2"/>
  <c r="I102" i="2"/>
  <c r="I104" i="2"/>
  <c r="I105" i="2"/>
  <c r="I106" i="2"/>
  <c r="I107" i="2"/>
  <c r="I111" i="2"/>
  <c r="I113" i="2"/>
  <c r="I114" i="2"/>
  <c r="I118" i="2"/>
  <c r="I119" i="2"/>
  <c r="I120" i="2"/>
  <c r="I122" i="2"/>
  <c r="I123" i="2"/>
  <c r="I124" i="2"/>
  <c r="I125" i="2"/>
  <c r="I126" i="2"/>
  <c r="I127" i="2"/>
  <c r="I128" i="2"/>
  <c r="I129" i="2"/>
  <c r="I130" i="2"/>
  <c r="I131" i="2"/>
  <c r="I132" i="2"/>
  <c r="I133" i="2"/>
  <c r="I134" i="2"/>
  <c r="I135" i="2"/>
  <c r="I136" i="2"/>
  <c r="I137" i="2"/>
  <c r="I138" i="2"/>
  <c r="I139" i="2"/>
  <c r="I140" i="2"/>
  <c r="I141" i="2"/>
  <c r="I142" i="2"/>
  <c r="I143" i="2"/>
  <c r="I144" i="2"/>
  <c r="I145" i="2"/>
  <c r="I147" i="2"/>
  <c r="I148" i="2"/>
  <c r="I149" i="2"/>
  <c r="I150" i="2"/>
  <c r="I152" i="2"/>
  <c r="I154" i="2"/>
  <c r="I155" i="2"/>
  <c r="I156" i="2"/>
  <c r="I157" i="2"/>
  <c r="I165" i="2"/>
  <c r="I166" i="2"/>
  <c r="I168" i="2"/>
  <c r="I169" i="2"/>
  <c r="I170" i="2"/>
  <c r="I173" i="2"/>
  <c r="I174" i="2"/>
  <c r="I175" i="2"/>
  <c r="I176" i="2"/>
  <c r="I177" i="2"/>
  <c r="I178" i="2"/>
  <c r="I180" i="2"/>
  <c r="I181" i="2"/>
  <c r="I182" i="2"/>
  <c r="I183" i="2"/>
  <c r="I184" i="2"/>
  <c r="I185" i="2"/>
  <c r="I186" i="2"/>
  <c r="I191" i="2"/>
  <c r="I194" i="2"/>
  <c r="I195" i="2"/>
  <c r="I196" i="2"/>
  <c r="I197" i="2"/>
  <c r="I198" i="2"/>
  <c r="I199" i="2"/>
  <c r="I200" i="2"/>
  <c r="I201" i="2"/>
  <c r="I202" i="2"/>
  <c r="I203" i="2"/>
  <c r="I204" i="2"/>
  <c r="I205" i="2"/>
  <c r="I206" i="2"/>
  <c r="I207" i="2"/>
  <c r="I208" i="2"/>
  <c r="I209" i="2"/>
  <c r="F200" i="9" l="1"/>
  <c r="I200" i="9" s="1"/>
  <c r="F198" i="9"/>
  <c r="I198" i="9" s="1"/>
  <c r="F197" i="9"/>
  <c r="I197" i="9" s="1"/>
  <c r="F196" i="9"/>
  <c r="I196" i="9" s="1"/>
  <c r="F195" i="9"/>
  <c r="I195" i="9" s="1"/>
  <c r="F183" i="9"/>
  <c r="I183" i="9" s="1"/>
  <c r="F184" i="9"/>
  <c r="I184" i="9" s="1"/>
  <c r="F185" i="9"/>
  <c r="I185" i="9" s="1"/>
  <c r="F186" i="9"/>
  <c r="I186" i="9" s="1"/>
  <c r="F187" i="9"/>
  <c r="I187" i="9" s="1"/>
  <c r="F188" i="9"/>
  <c r="I188" i="9" s="1"/>
  <c r="F189" i="9"/>
  <c r="I189" i="9" s="1"/>
  <c r="F190" i="9"/>
  <c r="I190" i="9" s="1"/>
  <c r="F191" i="9"/>
  <c r="I191" i="9" s="1"/>
  <c r="F192" i="9"/>
  <c r="I192" i="9" s="1"/>
  <c r="F193" i="9"/>
  <c r="I193" i="9" s="1"/>
  <c r="F194" i="9"/>
  <c r="I194" i="9" s="1"/>
  <c r="F182" i="9"/>
  <c r="I182" i="9" s="1"/>
  <c r="F181" i="9"/>
  <c r="I181" i="9" s="1"/>
  <c r="F180" i="9"/>
  <c r="I180" i="9" s="1"/>
  <c r="F179" i="9"/>
  <c r="I179" i="9" s="1"/>
  <c r="F178" i="9"/>
  <c r="I178" i="9" s="1"/>
  <c r="F177" i="9"/>
  <c r="I177" i="9" s="1"/>
  <c r="F176" i="9"/>
  <c r="I176" i="9" s="1"/>
  <c r="F175" i="9"/>
  <c r="I175" i="9" s="1"/>
  <c r="F174" i="9" l="1"/>
  <c r="I174" i="9" s="1"/>
  <c r="F173" i="9" l="1"/>
  <c r="I173" i="9" s="1"/>
  <c r="F172" i="9"/>
  <c r="I172" i="9" s="1"/>
  <c r="H230" i="2" l="1"/>
  <c r="I230" i="2" s="1"/>
  <c r="H227" i="2"/>
  <c r="I227" i="2" s="1"/>
  <c r="H229" i="2"/>
  <c r="I229" i="2" s="1"/>
  <c r="H233" i="2"/>
  <c r="I233" i="2" s="1"/>
  <c r="H226" i="2"/>
  <c r="I226" i="2" s="1"/>
  <c r="H228" i="2"/>
  <c r="I228" i="2" s="1"/>
  <c r="F171" i="9" l="1"/>
  <c r="I171" i="9" s="1"/>
  <c r="F167" i="9" l="1"/>
  <c r="I167" i="9" s="1"/>
  <c r="F168" i="9"/>
  <c r="I168" i="9" s="1"/>
  <c r="F169" i="9"/>
  <c r="I169" i="9" s="1"/>
  <c r="F170" i="9"/>
  <c r="I170" i="9" s="1"/>
  <c r="H71" i="14" l="1"/>
  <c r="D166" i="9" s="1"/>
  <c r="F166" i="9" s="1"/>
  <c r="I166" i="9" s="1"/>
  <c r="I71" i="14" s="1"/>
  <c r="H70" i="14"/>
  <c r="F165" i="9"/>
  <c r="I165" i="9" s="1"/>
  <c r="F162" i="9"/>
  <c r="I162" i="9" s="1"/>
  <c r="F163" i="9"/>
  <c r="I163" i="9" s="1"/>
  <c r="F164" i="9"/>
  <c r="I164" i="9" s="1"/>
  <c r="H193" i="2" l="1"/>
  <c r="I193" i="2" s="1"/>
  <c r="H69" i="14" l="1"/>
  <c r="D161" i="9" s="1"/>
  <c r="F161" i="9" s="1"/>
  <c r="I161" i="9" s="1"/>
  <c r="I69" i="14" s="1"/>
  <c r="H68" i="14"/>
  <c r="F160" i="9"/>
  <c r="I160" i="9" s="1"/>
  <c r="F159" i="9"/>
  <c r="I159" i="9" s="1"/>
  <c r="H192" i="2" l="1"/>
  <c r="I192" i="2" s="1"/>
  <c r="F157" i="9"/>
  <c r="I157" i="9" s="1"/>
  <c r="F158" i="9"/>
  <c r="I158" i="9" s="1"/>
  <c r="H67" i="14" l="1"/>
  <c r="D156" i="9" s="1"/>
  <c r="F156" i="9" s="1"/>
  <c r="I156" i="9" s="1"/>
  <c r="I67" i="14" s="1"/>
  <c r="H66" i="14"/>
  <c r="H65" i="14"/>
  <c r="D155" i="9" s="1"/>
  <c r="F155" i="9" s="1"/>
  <c r="I155" i="9" s="1"/>
  <c r="I65" i="14" s="1"/>
  <c r="H64" i="14"/>
  <c r="H63" i="14"/>
  <c r="D154" i="9" s="1"/>
  <c r="F154" i="9" s="1"/>
  <c r="I154" i="9" s="1"/>
  <c r="I63" i="14" s="1"/>
  <c r="H62" i="14"/>
  <c r="K66" i="14" l="1"/>
  <c r="K9" i="4" l="1"/>
  <c r="L9" i="4" s="1"/>
  <c r="M9" i="4" s="1"/>
  <c r="N9" i="4" s="1"/>
  <c r="K8" i="4"/>
  <c r="L8" i="4" s="1"/>
  <c r="M8" i="4" s="1"/>
  <c r="C8" i="29"/>
  <c r="C9" i="29"/>
  <c r="C10" i="29"/>
  <c r="C11" i="29"/>
  <c r="C12" i="29"/>
  <c r="C7" i="29"/>
  <c r="N8" i="4" l="1"/>
  <c r="P8" i="4"/>
  <c r="O8" i="4"/>
  <c r="F9" i="4"/>
  <c r="F8" i="4"/>
  <c r="F150" i="9"/>
  <c r="I150" i="9" s="1"/>
  <c r="F152" i="9"/>
  <c r="I152" i="9" s="1"/>
  <c r="F153" i="9"/>
  <c r="I153" i="9" s="1"/>
  <c r="F151" i="9"/>
  <c r="I151" i="9" s="1"/>
  <c r="Q8" i="4" l="1"/>
  <c r="H189" i="2"/>
  <c r="I189" i="2" s="1"/>
  <c r="H190" i="2"/>
  <c r="I190" i="2" s="1"/>
  <c r="H187" i="2" l="1"/>
  <c r="I187" i="2" s="1"/>
  <c r="H188" i="2"/>
  <c r="I188" i="2" s="1"/>
  <c r="F149" i="9"/>
  <c r="I149" i="9" s="1"/>
  <c r="F148" i="9"/>
  <c r="I148" i="9" s="1"/>
  <c r="F146" i="9" l="1"/>
  <c r="F147" i="9" l="1"/>
  <c r="I147" i="9" s="1"/>
  <c r="I146" i="9"/>
  <c r="F144" i="9"/>
  <c r="I144" i="9" s="1"/>
  <c r="F145" i="9"/>
  <c r="I145" i="9" s="1"/>
  <c r="F143" i="9" l="1"/>
  <c r="I143" i="9" s="1"/>
  <c r="F142" i="9"/>
  <c r="I142" i="9" s="1"/>
  <c r="H171" i="2" l="1"/>
  <c r="I171" i="2" s="1"/>
  <c r="H61" i="14"/>
  <c r="D141" i="9" s="1"/>
  <c r="F141" i="9" s="1"/>
  <c r="I141" i="9" s="1"/>
  <c r="I61" i="14" s="1"/>
  <c r="H60" i="14"/>
  <c r="F140" i="9"/>
  <c r="I140" i="9" s="1"/>
  <c r="J60" i="14" l="1"/>
  <c r="K60" i="14" s="1"/>
  <c r="J62" i="14"/>
  <c r="J64" i="14"/>
  <c r="K64" i="14" s="1"/>
  <c r="J68" i="14"/>
  <c r="K68" i="14" s="1"/>
  <c r="L68" i="14" s="1"/>
  <c r="J72" i="14"/>
  <c r="K72" i="14" s="1"/>
  <c r="L72" i="14" s="1"/>
  <c r="J74" i="14"/>
  <c r="K74" i="14" s="1"/>
  <c r="J76" i="14"/>
  <c r="K76" i="14" s="1"/>
  <c r="J78" i="14"/>
  <c r="K78" i="14" s="1"/>
  <c r="J86" i="14"/>
  <c r="K86" i="14" s="1"/>
  <c r="J88" i="14"/>
  <c r="K88" i="14" s="1"/>
  <c r="J94" i="14"/>
  <c r="K94" i="14" s="1"/>
  <c r="J96" i="14"/>
  <c r="K96" i="14" s="1"/>
  <c r="N96" i="14" s="1"/>
  <c r="J98" i="14"/>
  <c r="K98" i="14" s="1"/>
  <c r="O96" i="14" s="1"/>
  <c r="J102" i="14"/>
  <c r="K102" i="14" s="1"/>
  <c r="L102" i="14" s="1"/>
  <c r="M102" i="14" s="1"/>
  <c r="J104" i="14"/>
  <c r="K104" i="14" s="1"/>
  <c r="L104" i="14" s="1"/>
  <c r="M104" i="14" s="1"/>
  <c r="J112" i="14"/>
  <c r="K112" i="14" s="1"/>
  <c r="L112" i="14" s="1"/>
  <c r="M112" i="14" s="1"/>
  <c r="J116" i="14"/>
  <c r="K116" i="14" s="1"/>
  <c r="J118" i="14"/>
  <c r="K118" i="14" s="1"/>
  <c r="J120" i="14"/>
  <c r="K120" i="14" s="1"/>
  <c r="J122" i="14"/>
  <c r="K122" i="14" s="1"/>
  <c r="L122" i="14" s="1"/>
  <c r="J124" i="14"/>
  <c r="K124" i="14" s="1"/>
  <c r="L124" i="14" s="1"/>
  <c r="J126" i="14"/>
  <c r="J128" i="14"/>
  <c r="J130" i="14"/>
  <c r="J132" i="14"/>
  <c r="J138" i="14"/>
  <c r="M96" i="14" l="1"/>
  <c r="J136" i="14"/>
  <c r="J134" i="14"/>
  <c r="K90" i="14"/>
  <c r="N90" i="14" s="1"/>
  <c r="J92" i="14"/>
  <c r="K92" i="14" s="1"/>
  <c r="O90" i="14" s="1"/>
  <c r="J84" i="14"/>
  <c r="K84" i="14" s="1"/>
  <c r="J80" i="14"/>
  <c r="K80" i="14" s="1"/>
  <c r="J70" i="14"/>
  <c r="K70" i="14" s="1"/>
  <c r="L70" i="14" s="1"/>
  <c r="F138" i="9"/>
  <c r="I138" i="9" s="1"/>
  <c r="F137" i="9"/>
  <c r="I137" i="9" s="1"/>
  <c r="M90" i="14" l="1"/>
  <c r="H179" i="2" l="1"/>
  <c r="I179" i="2" s="1"/>
  <c r="L60" i="14"/>
  <c r="F136" i="9" l="1"/>
  <c r="I136" i="9" s="1"/>
  <c r="F128" i="9" l="1"/>
  <c r="I128" i="9" s="1"/>
  <c r="F129" i="9"/>
  <c r="I129" i="9" s="1"/>
  <c r="F130" i="9"/>
  <c r="I130" i="9" s="1"/>
  <c r="F131" i="9"/>
  <c r="I131" i="9" s="1"/>
  <c r="F132" i="9"/>
  <c r="I132" i="9" s="1"/>
  <c r="F133" i="9"/>
  <c r="I133" i="9" s="1"/>
  <c r="F134" i="9"/>
  <c r="I134" i="9" s="1"/>
  <c r="F135" i="9"/>
  <c r="I135" i="9" s="1"/>
  <c r="K2" i="14"/>
  <c r="H59" i="14"/>
  <c r="D127" i="9" s="1"/>
  <c r="F127" i="9" s="1"/>
  <c r="I127" i="9" s="1"/>
  <c r="I59" i="14" s="1"/>
  <c r="H58" i="14"/>
  <c r="K126" i="14" l="1"/>
  <c r="L126" i="14" s="1"/>
  <c r="K130" i="14"/>
  <c r="K138" i="14"/>
  <c r="L138" i="14" s="1"/>
  <c r="K132" i="14"/>
  <c r="K128" i="14"/>
  <c r="K134" i="14"/>
  <c r="L134" i="14" s="1"/>
  <c r="K136" i="14"/>
  <c r="L136" i="14" s="1"/>
  <c r="K58" i="14"/>
  <c r="F126" i="9" l="1"/>
  <c r="I126" i="9" s="1"/>
  <c r="F124" i="9" l="1"/>
  <c r="I124" i="9" s="1"/>
  <c r="F125" i="9"/>
  <c r="I125" i="9" s="1"/>
  <c r="F123" i="9"/>
  <c r="I123" i="9" s="1"/>
  <c r="F122" i="9" l="1"/>
  <c r="I122" i="9" s="1"/>
  <c r="F121" i="9"/>
  <c r="I121" i="9" s="1"/>
  <c r="F120" i="9"/>
  <c r="I120" i="9" s="1"/>
  <c r="F119" i="9"/>
  <c r="I119" i="9" s="1"/>
  <c r="F118" i="9"/>
  <c r="I118" i="9" s="1"/>
  <c r="F117" i="9"/>
  <c r="I117" i="9" s="1"/>
  <c r="F116" i="9"/>
  <c r="I116" i="9" s="1"/>
  <c r="F115" i="9"/>
  <c r="I115" i="9" s="1"/>
  <c r="F114" i="9"/>
  <c r="I114" i="9" s="1"/>
  <c r="H167" i="2" l="1"/>
  <c r="I167" i="2" s="1"/>
  <c r="H159" i="2"/>
  <c r="I159" i="2" s="1"/>
  <c r="H162" i="2"/>
  <c r="I162" i="2" s="1"/>
  <c r="H163" i="2"/>
  <c r="I163" i="2" s="1"/>
  <c r="H161" i="2"/>
  <c r="I161" i="2" s="1"/>
  <c r="H160" i="2"/>
  <c r="I160" i="2" s="1"/>
  <c r="H164" i="2"/>
  <c r="I164" i="2" s="1"/>
  <c r="H158" i="2" l="1"/>
  <c r="I158" i="2" s="1"/>
  <c r="F109" i="9"/>
  <c r="I109" i="9" s="1"/>
  <c r="F110" i="9"/>
  <c r="I110" i="9" s="1"/>
  <c r="F111" i="9"/>
  <c r="I111" i="9" s="1"/>
  <c r="F112" i="9"/>
  <c r="I112" i="9" s="1"/>
  <c r="F113" i="9"/>
  <c r="I113" i="9" s="1"/>
  <c r="H153" i="2" l="1"/>
  <c r="I153" i="2" s="1"/>
  <c r="H172" i="2"/>
  <c r="I172" i="2" s="1"/>
  <c r="H57" i="14"/>
  <c r="D108" i="9" s="1"/>
  <c r="F108" i="9" s="1"/>
  <c r="I108" i="9" s="1"/>
  <c r="I57" i="14" s="1"/>
  <c r="H56" i="14"/>
  <c r="H55" i="14"/>
  <c r="D107" i="9" s="1"/>
  <c r="F107" i="9" s="1"/>
  <c r="I107" i="9" s="1"/>
  <c r="I55" i="14" s="1"/>
  <c r="H54" i="14"/>
  <c r="H151" i="2" l="1"/>
  <c r="I151" i="2" s="1"/>
  <c r="F103" i="9"/>
  <c r="I103" i="9" s="1"/>
  <c r="F104" i="9"/>
  <c r="I104" i="9" s="1"/>
  <c r="F105" i="9"/>
  <c r="I105" i="9" s="1"/>
  <c r="F106" i="9"/>
  <c r="I106" i="9" s="1"/>
  <c r="F102" i="9" l="1"/>
  <c r="I102" i="9" s="1"/>
  <c r="H146" i="2" l="1"/>
  <c r="I146" i="2" s="1"/>
  <c r="F101" i="9" l="1"/>
  <c r="I101" i="9" s="1"/>
  <c r="F100" i="9"/>
  <c r="I100" i="9" s="1"/>
  <c r="F99" i="9"/>
  <c r="I99" i="9" s="1"/>
  <c r="F98" i="9"/>
  <c r="I98" i="9" s="1"/>
  <c r="F97" i="9"/>
  <c r="I97" i="9" s="1"/>
  <c r="F96" i="9"/>
  <c r="I96" i="9" s="1"/>
  <c r="F95" i="9"/>
  <c r="I95" i="9" s="1"/>
  <c r="F94" i="9"/>
  <c r="I94" i="9" s="1"/>
  <c r="F93" i="9"/>
  <c r="I93" i="9" s="1"/>
  <c r="F92" i="9" l="1"/>
  <c r="I92" i="9" s="1"/>
  <c r="F91" i="9" l="1"/>
  <c r="I91" i="9" s="1"/>
  <c r="J54" i="14"/>
  <c r="K54" i="14" s="1"/>
  <c r="J56" i="14"/>
  <c r="K56" i="14" s="1"/>
  <c r="F90" i="9" l="1"/>
  <c r="I90" i="9" s="1"/>
  <c r="H121" i="2" l="1"/>
  <c r="I121" i="2" s="1"/>
  <c r="H50" i="14"/>
  <c r="D88" i="9" s="1"/>
  <c r="F88" i="9" s="1"/>
  <c r="I88" i="9" s="1"/>
  <c r="I50" i="14" s="1"/>
  <c r="H51" i="14"/>
  <c r="H52" i="14"/>
  <c r="D89" i="9" s="1"/>
  <c r="F89" i="9" s="1"/>
  <c r="I89" i="9" s="1"/>
  <c r="I52" i="14" s="1"/>
  <c r="H53" i="14"/>
  <c r="K52" i="14" l="1"/>
  <c r="H84" i="9" l="1"/>
  <c r="H116" i="2"/>
  <c r="H117" i="2"/>
  <c r="I117" i="2" s="1"/>
  <c r="H115" i="2"/>
  <c r="I115" i="2" s="1"/>
  <c r="J51" i="14"/>
  <c r="K50" i="14" s="1"/>
  <c r="F80" i="9"/>
  <c r="I80" i="9" s="1"/>
  <c r="F81" i="9"/>
  <c r="I81" i="9" s="1"/>
  <c r="F82" i="9"/>
  <c r="I82" i="9" s="1"/>
  <c r="F83" i="9"/>
  <c r="I83" i="9" s="1"/>
  <c r="I116" i="2" l="1"/>
  <c r="F87" i="9" s="1"/>
  <c r="I87" i="9" s="1"/>
  <c r="F139" i="9"/>
  <c r="I139" i="9" s="1"/>
  <c r="H112" i="2"/>
  <c r="I112" i="2" s="1"/>
  <c r="H109" i="2"/>
  <c r="I109" i="2" s="1"/>
  <c r="H110" i="2"/>
  <c r="I110" i="2" s="1"/>
  <c r="L56" i="14"/>
  <c r="O54" i="14" s="1"/>
  <c r="L54" i="14"/>
  <c r="L50" i="14"/>
  <c r="N50" i="14" s="1"/>
  <c r="L52" i="14"/>
  <c r="O50" i="14" s="1"/>
  <c r="F85" i="9"/>
  <c r="I85" i="9" s="1"/>
  <c r="F84" i="9"/>
  <c r="I84" i="9" s="1"/>
  <c r="F86" i="9"/>
  <c r="I86" i="9" s="1"/>
  <c r="H49" i="14"/>
  <c r="D79" i="9" s="1"/>
  <c r="F79" i="9" s="1"/>
  <c r="I79" i="9" s="1"/>
  <c r="I49" i="14" s="1"/>
  <c r="H48" i="14"/>
  <c r="H47" i="14"/>
  <c r="D78" i="9" s="1"/>
  <c r="F78" i="9" s="1"/>
  <c r="I78" i="9" s="1"/>
  <c r="I47" i="14" s="1"/>
  <c r="H46" i="14"/>
  <c r="H45" i="14"/>
  <c r="D77" i="9" s="1"/>
  <c r="F77" i="9" s="1"/>
  <c r="I77" i="9" s="1"/>
  <c r="I45" i="14" s="1"/>
  <c r="H44" i="14"/>
  <c r="H43" i="14"/>
  <c r="D76" i="9" s="1"/>
  <c r="H42" i="14"/>
  <c r="C75" i="9"/>
  <c r="H41" i="14"/>
  <c r="D75" i="9" s="1"/>
  <c r="F75" i="9" s="1"/>
  <c r="I75" i="9" s="1"/>
  <c r="I41" i="14" s="1"/>
  <c r="H40" i="14"/>
  <c r="H39" i="14"/>
  <c r="D74" i="9" s="1"/>
  <c r="F74" i="9" s="1"/>
  <c r="I74" i="9" s="1"/>
  <c r="I39" i="14" s="1"/>
  <c r="H38" i="14"/>
  <c r="F73" i="9"/>
  <c r="I73" i="9" s="1"/>
  <c r="F76" i="9" l="1"/>
  <c r="I76" i="9" s="1"/>
  <c r="I43" i="14" s="1"/>
  <c r="K42" i="14" s="1"/>
  <c r="H108" i="2"/>
  <c r="I108" i="2" s="1"/>
  <c r="K46" i="14"/>
  <c r="N46" i="14" s="1"/>
  <c r="N54" i="14"/>
  <c r="M54" i="14"/>
  <c r="M50" i="14"/>
  <c r="K48" i="14"/>
  <c r="O46" i="14" s="1"/>
  <c r="M46" i="14" l="1"/>
  <c r="H103" i="2" l="1"/>
  <c r="I103" i="2" s="1"/>
  <c r="F72" i="9"/>
  <c r="I72" i="9" s="1"/>
  <c r="F71" i="9"/>
  <c r="I71" i="9" s="1"/>
  <c r="F70" i="9"/>
  <c r="I70" i="9" s="1"/>
  <c r="F69" i="9"/>
  <c r="I69" i="9" s="1"/>
  <c r="F68" i="9" l="1"/>
  <c r="I68" i="9" s="1"/>
  <c r="F57" i="9" l="1"/>
  <c r="H37" i="14"/>
  <c r="D67" i="9" s="1"/>
  <c r="F67" i="9" s="1"/>
  <c r="I67" i="9" s="1"/>
  <c r="I37" i="14" s="1"/>
  <c r="H36" i="14"/>
  <c r="H35" i="14"/>
  <c r="D66" i="9" s="1"/>
  <c r="F66" i="9" s="1"/>
  <c r="I66" i="9" s="1"/>
  <c r="I35" i="14" s="1"/>
  <c r="H34" i="14"/>
  <c r="K34" i="14" l="1"/>
  <c r="K36" i="14"/>
  <c r="H33" i="14"/>
  <c r="H32" i="14"/>
  <c r="H31" i="14"/>
  <c r="H30" i="14"/>
  <c r="H29" i="14"/>
  <c r="D63" i="9" s="1"/>
  <c r="F63" i="9" s="1"/>
  <c r="I63" i="9" s="1"/>
  <c r="I29" i="14" s="1"/>
  <c r="H28" i="14"/>
  <c r="H27" i="14"/>
  <c r="D62" i="9" s="1"/>
  <c r="F62" i="9" s="1"/>
  <c r="I62" i="9" s="1"/>
  <c r="I27" i="14" s="1"/>
  <c r="H26" i="14"/>
  <c r="H25" i="14"/>
  <c r="D61" i="9" s="1"/>
  <c r="F61" i="9" s="1"/>
  <c r="I61" i="9" s="1"/>
  <c r="I25" i="14" s="1"/>
  <c r="H24" i="14"/>
  <c r="H23" i="14"/>
  <c r="D60" i="9" s="1"/>
  <c r="F60" i="9" s="1"/>
  <c r="I60" i="9" s="1"/>
  <c r="I23" i="14" s="1"/>
  <c r="H22" i="14"/>
  <c r="H21" i="14"/>
  <c r="D59" i="9" s="1"/>
  <c r="F59" i="9" s="1"/>
  <c r="I59" i="9" s="1"/>
  <c r="I21" i="14" s="1"/>
  <c r="H20" i="14"/>
  <c r="H19" i="14"/>
  <c r="D58" i="9" s="1"/>
  <c r="F58" i="9" s="1"/>
  <c r="I58" i="9" s="1"/>
  <c r="I19" i="14" s="1"/>
  <c r="H18" i="14"/>
  <c r="I51" i="9"/>
  <c r="I52" i="9"/>
  <c r="I57" i="9"/>
  <c r="F50" i="9"/>
  <c r="I50" i="9" s="1"/>
  <c r="F53" i="9"/>
  <c r="I53" i="9" s="1"/>
  <c r="F54" i="9"/>
  <c r="I54" i="9" s="1"/>
  <c r="F55" i="9"/>
  <c r="I55" i="9" s="1"/>
  <c r="F56" i="9"/>
  <c r="I56" i="9" s="1"/>
  <c r="D65" i="9" l="1"/>
  <c r="F65" i="9" s="1"/>
  <c r="I65" i="9" s="1"/>
  <c r="I32" i="14" s="1"/>
  <c r="D64" i="9"/>
  <c r="F64" i="9" s="1"/>
  <c r="I64" i="9" s="1"/>
  <c r="I30" i="14" s="1"/>
  <c r="H17" i="14" l="1"/>
  <c r="D49" i="9" s="1"/>
  <c r="F49" i="9" s="1"/>
  <c r="I49" i="9" s="1"/>
  <c r="I17" i="14" s="1"/>
  <c r="H16" i="14"/>
  <c r="H15" i="14"/>
  <c r="D48" i="9" s="1"/>
  <c r="F48" i="9" s="1"/>
  <c r="I48" i="9" s="1"/>
  <c r="I15" i="14" s="1"/>
  <c r="H14" i="14"/>
  <c r="F47" i="9"/>
  <c r="I47" i="9" s="1"/>
  <c r="F46" i="9"/>
  <c r="I46" i="9" s="1"/>
  <c r="F45" i="9"/>
  <c r="I45" i="9" s="1"/>
  <c r="F44" i="9"/>
  <c r="I44" i="9" s="1"/>
  <c r="H77" i="2" l="1"/>
  <c r="I77" i="2" s="1"/>
  <c r="L36" i="14"/>
  <c r="F43" i="9"/>
  <c r="I43" i="9" s="1"/>
  <c r="H76" i="2" l="1"/>
  <c r="I76" i="2" s="1"/>
  <c r="H79" i="2"/>
  <c r="I79" i="2" s="1"/>
  <c r="L34" i="14"/>
  <c r="H78" i="2"/>
  <c r="I78" i="2" s="1"/>
  <c r="F42" i="9"/>
  <c r="I42" i="9" s="1"/>
  <c r="F41" i="9"/>
  <c r="I41" i="9" s="1"/>
  <c r="F40" i="9"/>
  <c r="I40" i="9" s="1"/>
  <c r="F39" i="9" l="1"/>
  <c r="I39" i="9" s="1"/>
  <c r="H13" i="14" l="1"/>
  <c r="H12" i="14"/>
  <c r="F31" i="9"/>
  <c r="I31" i="9" s="1"/>
  <c r="F32" i="9"/>
  <c r="I32" i="9" s="1"/>
  <c r="F33" i="9"/>
  <c r="I33" i="9" s="1"/>
  <c r="F34" i="9"/>
  <c r="I34" i="9" s="1"/>
  <c r="F35" i="9"/>
  <c r="I35" i="9" s="1"/>
  <c r="F36" i="9"/>
  <c r="I36" i="9" s="1"/>
  <c r="F37" i="9"/>
  <c r="I37" i="9" s="1"/>
  <c r="H11" i="14"/>
  <c r="H10" i="14"/>
  <c r="D30" i="9" s="1"/>
  <c r="F30" i="9" s="1"/>
  <c r="I30" i="9" s="1"/>
  <c r="I10" i="14" s="1"/>
  <c r="D38" i="9" l="1"/>
  <c r="F38" i="9" s="1"/>
  <c r="I38" i="9" s="1"/>
  <c r="I12" i="14" s="1"/>
  <c r="K14" i="14"/>
  <c r="L14" i="14" s="1"/>
  <c r="K16" i="14"/>
  <c r="L16" i="14" s="1"/>
  <c r="O69" i="2"/>
  <c r="O68" i="2"/>
  <c r="F29" i="9" l="1"/>
  <c r="I29" i="9" s="1"/>
  <c r="F28" i="9"/>
  <c r="I28" i="9" s="1"/>
  <c r="F27" i="9"/>
  <c r="I27" i="9" s="1"/>
  <c r="F26" i="9"/>
  <c r="I26" i="9" s="1"/>
  <c r="H57" i="2" l="1"/>
  <c r="I57" i="2" s="1"/>
  <c r="F23" i="9" l="1"/>
  <c r="I23" i="9" s="1"/>
  <c r="F22" i="9"/>
  <c r="I22" i="9" s="1"/>
  <c r="F25" i="9"/>
  <c r="I25" i="9" s="1"/>
  <c r="F24" i="9"/>
  <c r="I24" i="9" s="1"/>
  <c r="F21" i="9" l="1"/>
  <c r="H21" i="9" l="1"/>
  <c r="H9" i="14"/>
  <c r="H8" i="14"/>
  <c r="H7" i="14"/>
  <c r="H6" i="14"/>
  <c r="F19" i="9"/>
  <c r="I19" i="9" s="1"/>
  <c r="D20" i="9" l="1"/>
  <c r="F20" i="9" s="1"/>
  <c r="I20" i="9" s="1"/>
  <c r="I8" i="14" s="1"/>
  <c r="I21" i="9"/>
  <c r="H50" i="2"/>
  <c r="I50" i="2" s="1"/>
  <c r="H56" i="2"/>
  <c r="J9" i="14"/>
  <c r="K8" i="14" l="1"/>
  <c r="I56" i="2"/>
  <c r="F18" i="9"/>
  <c r="I18" i="9" s="1"/>
  <c r="F17" i="9"/>
  <c r="I17" i="9" s="1"/>
  <c r="F15" i="9" l="1"/>
  <c r="I15" i="9" s="1"/>
  <c r="F14" i="9" l="1"/>
  <c r="I14" i="9" s="1"/>
  <c r="F13" i="9"/>
  <c r="I13" i="9" s="1"/>
  <c r="F12" i="9" l="1"/>
  <c r="I12" i="9" s="1"/>
  <c r="F11" i="9"/>
  <c r="I11" i="9" s="1"/>
  <c r="F10" i="9"/>
  <c r="I10" i="9" s="1"/>
  <c r="F9" i="9"/>
  <c r="I9" i="9" s="1"/>
  <c r="F8" i="9"/>
  <c r="I8" i="9" s="1"/>
  <c r="F7" i="9"/>
  <c r="I7" i="9" s="1"/>
  <c r="H49" i="2" l="1"/>
  <c r="I49" i="2" s="1"/>
  <c r="J11" i="14"/>
  <c r="K10" i="14" s="1"/>
  <c r="L10" i="14" s="1"/>
  <c r="J13" i="14"/>
  <c r="K12" i="14" s="1"/>
  <c r="J18" i="14"/>
  <c r="K18" i="14" s="1"/>
  <c r="L18" i="14" s="1"/>
  <c r="J20" i="14"/>
  <c r="K20" i="14" s="1"/>
  <c r="L20" i="14" s="1"/>
  <c r="J22" i="14"/>
  <c r="K22" i="14" s="1"/>
  <c r="L22" i="14" s="1"/>
  <c r="J24" i="14"/>
  <c r="K24" i="14" s="1"/>
  <c r="L24" i="14" s="1"/>
  <c r="J26" i="14"/>
  <c r="K26" i="14" s="1"/>
  <c r="L26" i="14" s="1"/>
  <c r="J28" i="14"/>
  <c r="K28" i="14" s="1"/>
  <c r="L28" i="14" s="1"/>
  <c r="J31" i="14"/>
  <c r="K30" i="14" s="1"/>
  <c r="L30" i="14" s="1"/>
  <c r="J33" i="14"/>
  <c r="K32" i="14" s="1"/>
  <c r="L32" i="14" s="1"/>
  <c r="J34" i="14"/>
  <c r="J36" i="14"/>
  <c r="J44" i="14"/>
  <c r="K44" i="14" s="1"/>
  <c r="L8" i="14" l="1"/>
  <c r="F16" i="9" l="1"/>
  <c r="I16" i="9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A90D4449-0D9C-4359-AF59-D414C6E16C35}" keepAlive="1" name="Consulta - DUPLICADDOS_LIMITES" description="Conexión a la consulta 'DUPLICADDOS_LIMITES' en el libro." type="5" refreshedVersion="0" background="1">
    <dbPr connection="Provider=Microsoft.Mashup.OleDb.1;Data Source=$Workbook$;Location=DUPLICADDOS_LIMITES;Extended Properties=&quot;&quot;" command="SELECT * FROM [DUPLICADDOS_LIMITES]"/>
  </connection>
  <connection id="2" xr16:uid="{75B551DF-38F6-4D5B-B591-A7511C54419D}" keepAlive="1" name="Consulta - DUPLICADOS" description="Conexión a la consulta 'DUPLICADOS' en el libro." type="5" refreshedVersion="0" background="1">
    <dbPr connection="Provider=Microsoft.Mashup.OleDb.1;Data Source=$Workbook$;Location=DUPLICADOS;Extended Properties=&quot;&quot;" command="SELECT * FROM [DUPLICADOS]"/>
  </connection>
  <connection id="3" xr16:uid="{15C1DD20-33DD-4262-A81A-A5BB64820576}" keepAlive="1" name="Consulta - LIMITES" description="Conexión a la consulta 'LIMITES' en el libro." type="5" refreshedVersion="0" background="1">
    <dbPr connection="Provider=Microsoft.Mashup.OleDb.1;Data Source=$Workbook$;Location=LIMITES;Extended Properties=&quot;&quot;" command="SELECT * FROM [LIMITES]"/>
  </connection>
  <connection id="4" xr16:uid="{54409889-6AFC-418A-8372-615CE88330A0}" keepAlive="1" name="Consulta - MUESTRAS" description="Conexión a la consulta 'MUESTRAS' en el libro." type="5" refreshedVersion="0" background="1">
    <dbPr connection="Provider=Microsoft.Mashup.OleDb.1;Data Source=$Workbook$;Location=MUESTRAS;Extended Properties=&quot;&quot;" command="SELECT * FROM [MUESTRAS]"/>
  </connection>
  <connection id="5" xr16:uid="{E47BF48C-30CB-4568-98BE-353B597624A3}" keepAlive="1" name="Consulta - PRECISION" description="Conexión a la consulta 'PRECISION' en el libro." type="5" refreshedVersion="7" background="1" saveData="1">
    <dbPr connection="Provider=Microsoft.Mashup.OleDb.1;Data Source=$Workbook$;Location=PRECISION;Extended Properties=&quot;&quot;" command="SELECT * FROM [PRECISION]"/>
  </connection>
</connections>
</file>

<file path=xl/sharedStrings.xml><?xml version="1.0" encoding="utf-8"?>
<sst xmlns="http://schemas.openxmlformats.org/spreadsheetml/2006/main" count="9059" uniqueCount="1381">
  <si>
    <t>Proteína Vegetal Nutrilite _ Lote_61206V7A 16.28</t>
  </si>
  <si>
    <t>0073-18</t>
  </si>
  <si>
    <t>Jugo de Manzana MOTT'S_Lote: 071217 AH 12:49</t>
  </si>
  <si>
    <t>1425-17</t>
  </si>
  <si>
    <t>Choco express con azúcar_Lote: 9900058935</t>
  </si>
  <si>
    <t>1427-17</t>
  </si>
  <si>
    <r>
      <t xml:space="preserve">Revisión: </t>
    </r>
    <r>
      <rPr>
        <b/>
        <sz val="12"/>
        <color theme="3"/>
        <rFont val="Arial"/>
        <family val="2"/>
      </rPr>
      <t>0</t>
    </r>
  </si>
  <si>
    <r>
      <rPr>
        <b/>
        <sz val="12"/>
        <rFont val="Arial"/>
        <family val="2"/>
      </rPr>
      <t>Inicio de vigencia:</t>
    </r>
    <r>
      <rPr>
        <sz val="12"/>
        <color theme="1"/>
        <rFont val="Arial"/>
        <family val="2"/>
      </rPr>
      <t xml:space="preserve"> </t>
    </r>
    <r>
      <rPr>
        <b/>
        <sz val="12"/>
        <color theme="3"/>
        <rFont val="Arial"/>
        <family val="2"/>
      </rPr>
      <t>2018/01/09</t>
    </r>
  </si>
  <si>
    <r>
      <t xml:space="preserve">(2) </t>
    </r>
    <r>
      <rPr>
        <b/>
        <sz val="10"/>
        <color theme="1"/>
        <rFont val="Arial"/>
        <family val="2"/>
      </rPr>
      <t xml:space="preserve">Almacenamiento del registro: </t>
    </r>
  </si>
  <si>
    <r>
      <t xml:space="preserve">(1) </t>
    </r>
    <r>
      <rPr>
        <b/>
        <sz val="10"/>
        <color theme="1"/>
        <rFont val="Arial"/>
        <family val="2"/>
      </rPr>
      <t>Consecutivo No.</t>
    </r>
  </si>
  <si>
    <t>N.A</t>
  </si>
  <si>
    <r>
      <rPr>
        <b/>
        <sz val="10"/>
        <color theme="1"/>
        <rFont val="Arial"/>
        <family val="2"/>
      </rPr>
      <t xml:space="preserve"> </t>
    </r>
    <r>
      <rPr>
        <b/>
        <vertAlign val="superscript"/>
        <sz val="10"/>
        <color theme="1"/>
        <rFont val="Arial"/>
        <family val="2"/>
      </rPr>
      <t>(6)</t>
    </r>
    <r>
      <rPr>
        <b/>
        <sz val="10"/>
        <color theme="1"/>
        <rFont val="Arial"/>
        <family val="2"/>
      </rPr>
      <t>Fecha</t>
    </r>
  </si>
  <si>
    <r>
      <rPr>
        <b/>
        <vertAlign val="superscript"/>
        <sz val="10"/>
        <color theme="1"/>
        <rFont val="Arial"/>
        <family val="2"/>
      </rPr>
      <t>(7)</t>
    </r>
    <r>
      <rPr>
        <b/>
        <sz val="10"/>
        <color theme="1"/>
        <rFont val="Arial"/>
        <family val="2"/>
      </rPr>
      <t xml:space="preserve"> Id Muestra</t>
    </r>
  </si>
  <si>
    <t>Matriz</t>
  </si>
  <si>
    <t>JMFR</t>
  </si>
  <si>
    <t>WFRP</t>
  </si>
  <si>
    <t>Revisó</t>
  </si>
  <si>
    <r>
      <t>Identificación:</t>
    </r>
    <r>
      <rPr>
        <b/>
        <sz val="12"/>
        <color theme="3"/>
        <rFont val="Arial"/>
        <family val="2"/>
      </rPr>
      <t>FOR-TC-040</t>
    </r>
  </si>
  <si>
    <t>ENSAYO DE GRASA /AOAC 920.39</t>
  </si>
  <si>
    <r>
      <rPr>
        <b/>
        <vertAlign val="superscript"/>
        <sz val="10"/>
        <color theme="1"/>
        <rFont val="Arial"/>
        <family val="2"/>
      </rPr>
      <t xml:space="preserve">(3) </t>
    </r>
    <r>
      <rPr>
        <b/>
        <sz val="10"/>
        <color theme="1"/>
        <rFont val="Arial"/>
        <family val="2"/>
      </rPr>
      <t>Vidrieria utilizada</t>
    </r>
  </si>
  <si>
    <r>
      <rPr>
        <b/>
        <sz val="10"/>
        <color theme="1"/>
        <rFont val="Arial"/>
        <family val="2"/>
      </rPr>
      <t>Equipo/N°Inventario</t>
    </r>
    <r>
      <rPr>
        <sz val="10"/>
        <color theme="1"/>
        <rFont val="Arial"/>
        <family val="2"/>
      </rPr>
      <t xml:space="preserve">      Probeta/</t>
    </r>
  </si>
  <si>
    <r>
      <rPr>
        <b/>
        <vertAlign val="superscript"/>
        <sz val="12"/>
        <color theme="1"/>
        <rFont val="Arial"/>
        <family val="2"/>
      </rPr>
      <t xml:space="preserve">(1) </t>
    </r>
    <r>
      <rPr>
        <b/>
        <sz val="10"/>
        <color theme="1"/>
        <rFont val="Arial"/>
        <family val="2"/>
      </rPr>
      <t>Consecutivo N°</t>
    </r>
  </si>
  <si>
    <r>
      <t xml:space="preserve">(4) </t>
    </r>
    <r>
      <rPr>
        <b/>
        <sz val="10"/>
        <color theme="1"/>
        <rFont val="Arial"/>
        <family val="2"/>
      </rPr>
      <t>Equipos utilizados en el análisis</t>
    </r>
  </si>
  <si>
    <r>
      <t xml:space="preserve">Equipo/N° Inventario
</t>
    </r>
    <r>
      <rPr>
        <sz val="10"/>
        <color theme="1"/>
        <rFont val="Arial"/>
        <family val="2"/>
      </rPr>
      <t>Balanza Analítica RADWAG/ 006</t>
    </r>
  </si>
  <si>
    <r>
      <t xml:space="preserve">Equipo/N° Inventario
</t>
    </r>
    <r>
      <rPr>
        <sz val="10"/>
        <color theme="1"/>
        <rFont val="Arial"/>
        <family val="2"/>
      </rPr>
      <t>Estufa de secado MEMMERT / 002</t>
    </r>
  </si>
  <si>
    <r>
      <t xml:space="preserve">Equipo/N° Inventario
</t>
    </r>
    <r>
      <rPr>
        <sz val="10"/>
        <color theme="1"/>
        <rFont val="Arial"/>
        <family val="2"/>
      </rPr>
      <t>Equipo Soxhlet Hanon / 083</t>
    </r>
  </si>
  <si>
    <r>
      <t xml:space="preserve">Equipo/N° Inventario
</t>
    </r>
    <r>
      <rPr>
        <sz val="10"/>
        <color theme="1"/>
        <rFont val="Arial"/>
        <family val="2"/>
      </rPr>
      <t>Desecador Citoglass/ 109</t>
    </r>
  </si>
  <si>
    <r>
      <t xml:space="preserve">(5) </t>
    </r>
    <r>
      <rPr>
        <b/>
        <sz val="10"/>
        <color theme="1"/>
        <rFont val="Arial"/>
        <family val="2"/>
      </rPr>
      <t xml:space="preserve">Reactivos utilizados en el análisis:                       </t>
    </r>
    <r>
      <rPr>
        <sz val="10"/>
        <color theme="1"/>
        <rFont val="Arial"/>
        <family val="2"/>
      </rPr>
      <t>Éter de Petróleo</t>
    </r>
  </si>
  <si>
    <r>
      <rPr>
        <b/>
        <vertAlign val="superscript"/>
        <sz val="10"/>
        <color theme="1"/>
        <rFont val="Arial"/>
        <family val="2"/>
      </rPr>
      <t xml:space="preserve">(6) </t>
    </r>
    <r>
      <rPr>
        <b/>
        <sz val="10"/>
        <color theme="1"/>
        <rFont val="Arial"/>
        <family val="2"/>
      </rPr>
      <t xml:space="preserve">Consumibles usado en el análisis:                                                       </t>
    </r>
    <r>
      <rPr>
        <sz val="10"/>
        <color theme="1"/>
        <rFont val="Arial"/>
        <family val="2"/>
      </rPr>
      <t>Dedales de Celulosa</t>
    </r>
  </si>
  <si>
    <r>
      <t xml:space="preserve"> </t>
    </r>
    <r>
      <rPr>
        <vertAlign val="superscript"/>
        <sz val="10"/>
        <color theme="1"/>
        <rFont val="Arial"/>
        <family val="2"/>
      </rPr>
      <t>(7)</t>
    </r>
    <r>
      <rPr>
        <b/>
        <sz val="10"/>
        <color theme="1"/>
        <rFont val="Arial"/>
        <family val="2"/>
      </rPr>
      <t>Fecha</t>
    </r>
  </si>
  <si>
    <r>
      <t>(8)</t>
    </r>
    <r>
      <rPr>
        <b/>
        <sz val="10"/>
        <color theme="1"/>
        <rFont val="Arial"/>
        <family val="2"/>
      </rPr>
      <t xml:space="preserve"> Id Muestra</t>
    </r>
  </si>
  <si>
    <r>
      <t xml:space="preserve"> </t>
    </r>
    <r>
      <rPr>
        <b/>
        <vertAlign val="superscript"/>
        <sz val="10"/>
        <color theme="1"/>
        <rFont val="Arial"/>
        <family val="2"/>
      </rPr>
      <t>(13)</t>
    </r>
    <r>
      <rPr>
        <b/>
        <sz val="10"/>
        <color theme="1"/>
        <rFont val="Arial"/>
        <family val="2"/>
      </rPr>
      <t xml:space="preserve"> Peso de la muestra (g) </t>
    </r>
  </si>
  <si>
    <r>
      <t xml:space="preserve"> </t>
    </r>
    <r>
      <rPr>
        <b/>
        <vertAlign val="superscript"/>
        <sz val="10"/>
        <color theme="1"/>
        <rFont val="Arial"/>
        <family val="2"/>
      </rPr>
      <t>(14)</t>
    </r>
    <r>
      <rPr>
        <b/>
        <sz val="10"/>
        <color theme="1"/>
        <rFont val="Arial"/>
        <family val="2"/>
      </rPr>
      <t xml:space="preserve"> Posición del beaker en el equipo</t>
    </r>
  </si>
  <si>
    <r>
      <t xml:space="preserve"> </t>
    </r>
    <r>
      <rPr>
        <b/>
        <vertAlign val="superscript"/>
        <sz val="10"/>
        <color theme="1"/>
        <rFont val="Arial"/>
        <family val="2"/>
      </rPr>
      <t>(15)</t>
    </r>
    <r>
      <rPr>
        <b/>
        <sz val="10"/>
        <color theme="1"/>
        <rFont val="Arial"/>
        <family val="2"/>
      </rPr>
      <t xml:space="preserve"> Peso del beaker vacio y limpio (g)</t>
    </r>
  </si>
  <si>
    <r>
      <t xml:space="preserve"> </t>
    </r>
    <r>
      <rPr>
        <b/>
        <vertAlign val="superscript"/>
        <sz val="10"/>
        <color theme="1"/>
        <rFont val="Arial"/>
        <family val="2"/>
      </rPr>
      <t>(16)</t>
    </r>
    <r>
      <rPr>
        <b/>
        <sz val="10"/>
        <color theme="1"/>
        <rFont val="Arial"/>
        <family val="2"/>
      </rPr>
      <t xml:space="preserve"> Peso del beaker mas grasa extraida despues del secado en estufa (g)</t>
    </r>
  </si>
  <si>
    <r>
      <rPr>
        <b/>
        <vertAlign val="superscript"/>
        <sz val="10"/>
        <color theme="1"/>
        <rFont val="Arial"/>
        <family val="2"/>
      </rPr>
      <t>(17)</t>
    </r>
    <r>
      <rPr>
        <b/>
        <sz val="10"/>
        <color theme="1"/>
        <rFont val="Arial"/>
        <family val="2"/>
      </rPr>
      <t xml:space="preserve"> Realizó</t>
    </r>
  </si>
  <si>
    <r>
      <rPr>
        <vertAlign val="superscript"/>
        <sz val="10"/>
        <color theme="1"/>
        <rFont val="Arial"/>
        <family val="2"/>
      </rPr>
      <t>(18)</t>
    </r>
    <r>
      <rPr>
        <b/>
        <sz val="10"/>
        <color theme="1"/>
        <rFont val="Arial"/>
        <family val="2"/>
      </rPr>
      <t>Observaciones</t>
    </r>
  </si>
  <si>
    <r>
      <t xml:space="preserve">% Grasa     </t>
    </r>
    <r>
      <rPr>
        <b/>
        <vertAlign val="superscript"/>
        <sz val="10"/>
        <color theme="1"/>
        <rFont val="Arial"/>
        <family val="2"/>
      </rPr>
      <t>m/m</t>
    </r>
  </si>
  <si>
    <r>
      <rPr>
        <b/>
        <vertAlign val="superscript"/>
        <sz val="10"/>
        <color theme="1"/>
        <rFont val="Arial"/>
        <family val="2"/>
      </rPr>
      <t>(17)</t>
    </r>
    <r>
      <rPr>
        <b/>
        <sz val="10"/>
        <color theme="1"/>
        <rFont val="Arial"/>
        <family val="2"/>
      </rPr>
      <t xml:space="preserve"> Reviso</t>
    </r>
  </si>
  <si>
    <r>
      <t xml:space="preserve">% Humedad  </t>
    </r>
    <r>
      <rPr>
        <b/>
        <vertAlign val="superscript"/>
        <sz val="10"/>
        <color theme="1"/>
        <rFont val="Arial"/>
        <family val="2"/>
      </rPr>
      <t>(Si aplica)</t>
    </r>
  </si>
  <si>
    <r>
      <rPr>
        <b/>
        <sz val="12"/>
        <rFont val="Arial"/>
        <family val="2"/>
      </rPr>
      <t>Formato para el registro de datos primarios del ensayo de Grasa método Soxhlet</t>
    </r>
    <r>
      <rPr>
        <sz val="12"/>
        <color theme="1"/>
        <rFont val="Arial"/>
        <family val="2"/>
      </rPr>
      <t xml:space="preserve">
</t>
    </r>
    <r>
      <rPr>
        <sz val="12"/>
        <color theme="3"/>
        <rFont val="Arial"/>
        <family val="2"/>
      </rPr>
      <t>AOXLAB S.A.S</t>
    </r>
  </si>
  <si>
    <r>
      <t>Identificación:</t>
    </r>
    <r>
      <rPr>
        <b/>
        <sz val="12"/>
        <color theme="3"/>
        <rFont val="Arial"/>
        <family val="2"/>
      </rPr>
      <t>FOR-TC-041</t>
    </r>
  </si>
  <si>
    <r>
      <rPr>
        <b/>
        <sz val="12"/>
        <rFont val="Arial"/>
        <family val="2"/>
      </rPr>
      <t>Formato para el registro de datos primarios del ensayo de Fósforo</t>
    </r>
    <r>
      <rPr>
        <sz val="12"/>
        <color theme="1"/>
        <rFont val="Arial"/>
        <family val="2"/>
      </rPr>
      <t xml:space="preserve">
</t>
    </r>
    <r>
      <rPr>
        <sz val="12"/>
        <color theme="3"/>
        <rFont val="Arial"/>
        <family val="2"/>
      </rPr>
      <t>AOXLAB S.A.S</t>
    </r>
  </si>
  <si>
    <r>
      <t>Identificación:</t>
    </r>
    <r>
      <rPr>
        <b/>
        <sz val="12"/>
        <color theme="3"/>
        <rFont val="Arial"/>
        <family val="2"/>
      </rPr>
      <t>FOR-TC-043</t>
    </r>
  </si>
  <si>
    <r>
      <rPr>
        <b/>
        <sz val="12"/>
        <rFont val="Arial"/>
        <family val="2"/>
      </rPr>
      <t>Inicio de vigencia:</t>
    </r>
    <r>
      <rPr>
        <sz val="12"/>
        <color theme="1"/>
        <rFont val="Arial"/>
        <family val="2"/>
      </rPr>
      <t xml:space="preserve"> </t>
    </r>
    <r>
      <rPr>
        <b/>
        <sz val="12"/>
        <color theme="3"/>
        <rFont val="Arial"/>
        <family val="2"/>
      </rPr>
      <t>2018/01/10</t>
    </r>
  </si>
  <si>
    <t>ENSAYO DE  FÓSFORO/ AOAC 965.17</t>
  </si>
  <si>
    <r>
      <t xml:space="preserve">Equipo/N° Inventario                                     </t>
    </r>
    <r>
      <rPr>
        <sz val="10"/>
        <color theme="1"/>
        <rFont val="Arial"/>
        <family val="2"/>
      </rPr>
      <t>Balón Volumétrico/</t>
    </r>
  </si>
  <si>
    <r>
      <t xml:space="preserve">(4) </t>
    </r>
    <r>
      <rPr>
        <b/>
        <sz val="10"/>
        <color theme="1"/>
        <rFont val="Arial"/>
        <family val="2"/>
      </rPr>
      <t>Equipos utilizados en el análisis:</t>
    </r>
  </si>
  <si>
    <r>
      <t xml:space="preserve">Equipo/N° Inventario
</t>
    </r>
    <r>
      <rPr>
        <sz val="10"/>
        <color theme="1"/>
        <rFont val="Arial"/>
        <family val="2"/>
      </rPr>
      <t>Espectroquant merck/177</t>
    </r>
  </si>
  <si>
    <r>
      <t xml:space="preserve">(5) </t>
    </r>
    <r>
      <rPr>
        <b/>
        <sz val="10"/>
        <color theme="1"/>
        <rFont val="Arial"/>
        <family val="2"/>
      </rPr>
      <t xml:space="preserve">Reactivos utilizados en el análisis:                  </t>
    </r>
  </si>
  <si>
    <t>Ácido clorhidrico (1:3) (HCl)</t>
  </si>
  <si>
    <t xml:space="preserve"> Solución estándar de Fósforo </t>
  </si>
  <si>
    <r>
      <t>Ácido Nitrico (HNO</t>
    </r>
    <r>
      <rPr>
        <vertAlign val="subscript"/>
        <sz val="10"/>
        <color theme="1"/>
        <rFont val="Arial"/>
        <family val="2"/>
      </rPr>
      <t>3</t>
    </r>
    <r>
      <rPr>
        <sz val="10"/>
        <color theme="1"/>
        <rFont val="Arial"/>
        <family val="2"/>
      </rPr>
      <t>)</t>
    </r>
  </si>
  <si>
    <r>
      <rPr>
        <b/>
        <vertAlign val="superscript"/>
        <sz val="10"/>
        <color theme="1"/>
        <rFont val="Arial"/>
        <family val="2"/>
      </rPr>
      <t>(16)</t>
    </r>
    <r>
      <rPr>
        <b/>
        <sz val="10"/>
        <color theme="1"/>
        <rFont val="Arial"/>
        <family val="2"/>
      </rPr>
      <t>Alicuota usada de la muestra (mL)</t>
    </r>
  </si>
  <si>
    <t>Peso de la Muestra (g)</t>
  </si>
  <si>
    <t>Volumen de Aforo (mL)</t>
  </si>
  <si>
    <t>Concentración Muestra (g/mL)</t>
  </si>
  <si>
    <t>Intercepto de la Curva de Calibración</t>
  </si>
  <si>
    <t>Pendiente de la Curva de Calibración</t>
  </si>
  <si>
    <r>
      <t xml:space="preserve">Equipo/N° Inventario                                                </t>
    </r>
    <r>
      <rPr>
        <sz val="10"/>
        <color theme="1"/>
        <rFont val="Arial"/>
        <family val="2"/>
      </rPr>
      <t>Probeta/</t>
    </r>
  </si>
  <si>
    <t>% Trasmitancia</t>
  </si>
  <si>
    <t>Abs</t>
  </si>
  <si>
    <t>FECHA</t>
  </si>
  <si>
    <t>MUESTRA</t>
  </si>
  <si>
    <t>ID MUESTRA</t>
  </si>
  <si>
    <t>Factor de dilución</t>
  </si>
  <si>
    <t>Promedio</t>
  </si>
  <si>
    <t>FIBRA DIETARIA TOTAL</t>
  </si>
  <si>
    <t>Ensayo de Proteínas</t>
  </si>
  <si>
    <r>
      <t xml:space="preserve">(2) </t>
    </r>
    <r>
      <rPr>
        <b/>
        <sz val="10"/>
        <color theme="1"/>
        <rFont val="Arial"/>
        <family val="2"/>
      </rPr>
      <t>Almacenamiento del registro:</t>
    </r>
  </si>
  <si>
    <r>
      <t xml:space="preserve">(3) </t>
    </r>
    <r>
      <rPr>
        <sz val="10"/>
        <color theme="1"/>
        <rFont val="Arial"/>
        <family val="2"/>
      </rPr>
      <t>Vidrieria utiliada:</t>
    </r>
  </si>
  <si>
    <r>
      <t xml:space="preserve"> </t>
    </r>
    <r>
      <rPr>
        <vertAlign val="superscript"/>
        <sz val="10"/>
        <color theme="1"/>
        <rFont val="Arial"/>
        <family val="2"/>
      </rPr>
      <t>(6)</t>
    </r>
    <r>
      <rPr>
        <b/>
        <sz val="10"/>
        <color theme="1"/>
        <rFont val="Arial"/>
        <family val="2"/>
      </rPr>
      <t>Fecha</t>
    </r>
  </si>
  <si>
    <r>
      <t>(7)</t>
    </r>
    <r>
      <rPr>
        <b/>
        <sz val="10"/>
        <color theme="1"/>
        <rFont val="Arial"/>
        <family val="2"/>
      </rPr>
      <t xml:space="preserve"> Id Muestra</t>
    </r>
  </si>
  <si>
    <r>
      <rPr>
        <vertAlign val="superscript"/>
        <sz val="10"/>
        <color theme="1"/>
        <rFont val="Arial"/>
        <family val="2"/>
      </rPr>
      <t>(14)</t>
    </r>
    <r>
      <rPr>
        <b/>
        <sz val="10"/>
        <color theme="1"/>
        <rFont val="Arial"/>
        <family val="2"/>
      </rPr>
      <t>Observaciones</t>
    </r>
  </si>
  <si>
    <t>Peso de la muestra (g)</t>
  </si>
  <si>
    <t>Volumen de HCl 0,1 N (mL)</t>
  </si>
  <si>
    <t>g Nitrógeno (N) / 100g muestra</t>
  </si>
  <si>
    <t>Factor de conversión</t>
  </si>
  <si>
    <t>g Proteína / 100g muestra</t>
  </si>
  <si>
    <r>
      <t>(7)</t>
    </r>
    <r>
      <rPr>
        <b/>
        <sz val="10"/>
        <color theme="1"/>
        <rFont val="Arial"/>
        <family val="2"/>
      </rPr>
      <t xml:space="preserve"> Matriz</t>
    </r>
  </si>
  <si>
    <t>Realizó</t>
  </si>
  <si>
    <r>
      <rPr>
        <b/>
        <vertAlign val="superscript"/>
        <sz val="10"/>
        <color theme="1"/>
        <rFont val="Arial"/>
        <family val="2"/>
      </rPr>
      <t>(13)</t>
    </r>
    <r>
      <rPr>
        <b/>
        <sz val="10"/>
        <color theme="1"/>
        <rFont val="Arial"/>
        <family val="2"/>
      </rPr>
      <t xml:space="preserve"> Revisó</t>
    </r>
  </si>
  <si>
    <t>0384-18</t>
  </si>
  <si>
    <t>0385-18</t>
  </si>
  <si>
    <t>cold fill: Identificado en la tapa con CF y tiene un color azul más concentrado_Día 100_Temperatura 35 °C_Lote:L280617 09 45</t>
  </si>
  <si>
    <t>Hot fill: Identificado en la tapa con CF y ademas tiene un color azul mas leve_Día 100_Temperatura: 35 °C_Lote: L280617 13 47</t>
  </si>
  <si>
    <t>Humedad (g)             (Si aplica)</t>
  </si>
  <si>
    <t>0462-18</t>
  </si>
  <si>
    <t>0463-18</t>
  </si>
  <si>
    <t>0464-18</t>
  </si>
  <si>
    <t>0465-18</t>
  </si>
  <si>
    <t>0466-18</t>
  </si>
  <si>
    <t>0467-18</t>
  </si>
  <si>
    <t>Manjares de cacao</t>
  </si>
  <si>
    <t>Alfajor chocolate _ lote: 30-01-2018</t>
  </si>
  <si>
    <t>Alfajor confitado _ lote: 26-01-2018</t>
  </si>
  <si>
    <t>Alfajor maicena _ lote: 31-01-2018</t>
  </si>
  <si>
    <t>0421-18</t>
  </si>
  <si>
    <t>0422-18</t>
  </si>
  <si>
    <t>0423-18</t>
  </si>
  <si>
    <t>0405-18</t>
  </si>
  <si>
    <t>Semillas de chía_ Ref biotrends: 184395</t>
  </si>
  <si>
    <t>Quinua y/o quinoa blanca en pepa_ Ref biotrends: 184396</t>
  </si>
  <si>
    <t>Harina de tubérculos: maca_ Ref biotrends: 184397</t>
  </si>
  <si>
    <t>Maní sal del Himalaya_ Ref biotrends: 184398</t>
  </si>
  <si>
    <t>Barra de cereal con frutas y vegetales_ Ref biotrends: 184399</t>
  </si>
  <si>
    <t>Barra de cereal, semillas y frutos secos:proteína y acai_ Ref biotrends: 184400</t>
  </si>
  <si>
    <t>0508-18</t>
  </si>
  <si>
    <t>Pancake y waffle mix vainilla harina de avena viva natur_lote: 098982</t>
  </si>
  <si>
    <t>Grits de maíz referencia 01_lote: 190218-A</t>
  </si>
  <si>
    <t>0629-18</t>
  </si>
  <si>
    <t>0630-18</t>
  </si>
  <si>
    <t>Grits de maíz referencia 01_lote: 190218-B</t>
  </si>
  <si>
    <t>Grits de maíz referencia 01_lote: 190218-C</t>
  </si>
  <si>
    <t>0631-18</t>
  </si>
  <si>
    <t>Método Mojonnier</t>
  </si>
  <si>
    <t>0549-18</t>
  </si>
  <si>
    <t>cold fill: Identificado en la tapa con CF y tiene un color azul más concentrado_Día 112_Temperatura 35 °C_Lote:L280617 09 45</t>
  </si>
  <si>
    <t>Hot fill: Identificado en la tapa con CF y ademas tiene un color azul mas leve_Día 112_Temperatura: 35 °C_Lote: L280617 13 47</t>
  </si>
  <si>
    <t>0550-18</t>
  </si>
  <si>
    <t>0652-18</t>
  </si>
  <si>
    <t>0684-18</t>
  </si>
  <si>
    <t>Leche en polvo entera marca Delimilk _lote:L419720118</t>
  </si>
  <si>
    <t>Frijol cargamanto rojo_ lote: 5260218</t>
  </si>
  <si>
    <t>0685-18</t>
  </si>
  <si>
    <t>Frijol cargamanto blanco_ lote: 5070218</t>
  </si>
  <si>
    <t>Blanco</t>
  </si>
  <si>
    <t>N.A.</t>
  </si>
  <si>
    <t>0615-18</t>
  </si>
  <si>
    <t>Maíz blanco_lote: Q27555</t>
  </si>
  <si>
    <t>Maíz amarillo_ lote: Q28504</t>
  </si>
  <si>
    <t>0616-18</t>
  </si>
  <si>
    <t>Soya extruida_ lote: Q27889</t>
  </si>
  <si>
    <t>Harina de maíz _ lote: Q28520</t>
  </si>
  <si>
    <t>0617-18</t>
  </si>
  <si>
    <t>0618-18</t>
  </si>
  <si>
    <t>Harina de maíz _ lote: Q28319</t>
  </si>
  <si>
    <t>0619-18</t>
  </si>
  <si>
    <t>Harina de maíz _ lote: Q28562</t>
  </si>
  <si>
    <t>0620-18</t>
  </si>
  <si>
    <t>Salvado de trigo_ lote: Q28320</t>
  </si>
  <si>
    <t>0621-18</t>
  </si>
  <si>
    <t>Harina de trigo_ lote: Q25442</t>
  </si>
  <si>
    <t>0622-18</t>
  </si>
  <si>
    <t>Harina de arroz_ lote: Q25812</t>
  </si>
  <si>
    <t>0623-18</t>
  </si>
  <si>
    <t>Harina de arroz_ lote: R00337</t>
  </si>
  <si>
    <t>0624-18</t>
  </si>
  <si>
    <t>Torta de palmiste_ lote: R00181</t>
  </si>
  <si>
    <t>0625-18</t>
  </si>
  <si>
    <t>Destilado de maíz_ lote: Q27173</t>
  </si>
  <si>
    <t>0626-18</t>
  </si>
  <si>
    <t>0627-18</t>
  </si>
  <si>
    <t>Forraje maíz_ lote: Q25410</t>
  </si>
  <si>
    <t>0687-18</t>
  </si>
  <si>
    <t>Concentrado de mucilage de café _ lote: M</t>
  </si>
  <si>
    <t>Peso de muestra (g)</t>
  </si>
  <si>
    <t>Volumen de muestra (mL)</t>
  </si>
  <si>
    <t>Volumen de azúcar invertido utilizado (mL)</t>
  </si>
  <si>
    <t>Concentración g/mL de azúcar invertido</t>
  </si>
  <si>
    <t>Factor de Fehling</t>
  </si>
  <si>
    <t>Volumen de muestra utilizado(mL)</t>
  </si>
  <si>
    <t>g Azúcares totales/100g de muestra</t>
  </si>
  <si>
    <t>Alimentos en general (producto terminado) Rollitos de plátano maduro Lote EN2218</t>
  </si>
  <si>
    <t>0077-18</t>
  </si>
  <si>
    <t>Casquitos de yuca Lote EN2218</t>
  </si>
  <si>
    <t>0078-18</t>
  </si>
  <si>
    <t>Rollitos de banano verde Lote EN2218</t>
  </si>
  <si>
    <t>0079-18</t>
  </si>
  <si>
    <t>0072-18</t>
  </si>
  <si>
    <t>Azucares No reductores</t>
  </si>
  <si>
    <t>Gel Energetico GOING sabor Café_ Lote 2-111017_Fermentado (Reductores)</t>
  </si>
  <si>
    <t>0092-18</t>
  </si>
  <si>
    <t>Gel Energetico GOING sabor Granada_ Lote 4-041217_Fermentado (Reductores)</t>
  </si>
  <si>
    <t>0093-18</t>
  </si>
  <si>
    <t>Gel Energetico GOING sabor Granada_ Lote 4-250817_en Buen estado (Reductores)</t>
  </si>
  <si>
    <t>0094-18</t>
  </si>
  <si>
    <t>Gel Energetico GOING sabor Granada_ Lote 4-041217_en Buen estado (Reductores)</t>
  </si>
  <si>
    <t>0095-18</t>
  </si>
  <si>
    <t>Gel Energetico GOING sabor Guayaba_ Lote 1-101017_en Buen estado (Reductores)</t>
  </si>
  <si>
    <t>0096-18</t>
  </si>
  <si>
    <t>Gel Energetico GOING sabor Guayaba_ Lote 1-020917_ en buen estado(Reductores)</t>
  </si>
  <si>
    <t>0097-18</t>
  </si>
  <si>
    <t>Gel Energetico GOING sabor Guayaba _ Lote 1-171117_ en buen estado (Reductores)</t>
  </si>
  <si>
    <t>0098-18</t>
  </si>
  <si>
    <t>Gel Energetico GOING sabor Guayaba _ Lote 1-230817_ en buen estado (Reductores)</t>
  </si>
  <si>
    <t>0099-18</t>
  </si>
  <si>
    <t>PANELA (materia prima de producción) MAKARIZA _LOTE_ 121704 (Reductores)</t>
  </si>
  <si>
    <t>0100-18</t>
  </si>
  <si>
    <t>Gel Energetico GOING sabor Café_ Lote 2-111017_Fermentado (Totales)</t>
  </si>
  <si>
    <t>Gel Energetico GOING sabor Granada_ Lote 4-041217_Fermentado (Totales)</t>
  </si>
  <si>
    <t>Gel Energetico GOING sabor Granada_ Lote 4-250817_en Buen estado (Totales)</t>
  </si>
  <si>
    <t>Gel Energetico GOING sabor Granada_ Lote 4-041217_en Buen estado (Totales)</t>
  </si>
  <si>
    <t>Gel Energetico GOING sabor Guayaba_ Lote 1-101017_en Buen estado (Totales)</t>
  </si>
  <si>
    <t>Gel Energetico GOING sabor Guayaba_ Lote 1-020917_ en buen estado (Totales)</t>
  </si>
  <si>
    <t>Gel Energetico GOING sabor Guayaba _ Lote 1-171117_ en buen estado (Totales)</t>
  </si>
  <si>
    <t>Gel Energetico GOING sabor Guayaba _ Lote 1-230817_ en buen estado (Totales)</t>
  </si>
  <si>
    <t>PANELA (materia prima de producción) MAKARIZA _LOTE_ 121704 (Totales)</t>
  </si>
  <si>
    <t>Caramelo de fruta_Lote 190118</t>
  </si>
  <si>
    <t>0169-18</t>
  </si>
  <si>
    <t>FIBRA NARANJA ( Orange Fiber-Citrus Sinensis Osbeck) _ Lote: OSM20171120</t>
  </si>
  <si>
    <t>0340-18</t>
  </si>
  <si>
    <t>Azú. No reduct</t>
  </si>
  <si>
    <t>Rodajas de mango_ lote: ALICO JF 05-17 Reductores</t>
  </si>
  <si>
    <t>0386-18</t>
  </si>
  <si>
    <t>Rodajas de mango_ lote: ALICO JF 05-17 Totales</t>
  </si>
  <si>
    <t>Rodajas de piña_ lote: ALICO AV 06-17</t>
  </si>
  <si>
    <t>0387-18</t>
  </si>
  <si>
    <t>Rodajas de piña_ lote: ALICO AV 06-17 Totales</t>
  </si>
  <si>
    <t>Rodajas de manzana _ lote: ALICO AV 06-17</t>
  </si>
  <si>
    <t>0410-18</t>
  </si>
  <si>
    <t>Rodajas de manzana _ lote: ALICO AV 06-17 Totales</t>
  </si>
  <si>
    <t>Going gel energético guayaba_ lote: 1-300118</t>
  </si>
  <si>
    <t>0412-18</t>
  </si>
  <si>
    <t>Going gel energético guayaba día 8, temperatura 35°_ lote: 1-300118</t>
  </si>
  <si>
    <t>0579-18</t>
  </si>
  <si>
    <t>Going gel energético guayaba día 8, temperatura 45°_ lote: 1-300118</t>
  </si>
  <si>
    <t>0580-18</t>
  </si>
  <si>
    <t>FIBRA O DESECHOS DE GRANOS DE CACAO CON CASCARA: PROCESO RESULTANTE DEL PRENSADO EN FRIO</t>
  </si>
  <si>
    <t>Aromática, cubos saborizados de panela instantánea_ lote: 39</t>
  </si>
  <si>
    <t>0738-18</t>
  </si>
  <si>
    <t>Fecha</t>
  </si>
  <si>
    <t>Muestra</t>
  </si>
  <si>
    <t>Id.</t>
  </si>
  <si>
    <t>Peso muestra (g)</t>
  </si>
  <si>
    <t>PESO CRISOL + CELITE (g)</t>
  </si>
  <si>
    <t>No. de Crisol</t>
  </si>
  <si>
    <t>PESO CRISOL + CELITE + RESIDUO (g)</t>
  </si>
  <si>
    <t>PESO RESIDUO (g)</t>
  </si>
  <si>
    <t>g proteína / g</t>
  </si>
  <si>
    <t>g cenizas/ g</t>
  </si>
  <si>
    <t>g de fibra dietaria/100 g</t>
  </si>
  <si>
    <t>Corrección por humedad y grasa</t>
  </si>
  <si>
    <t>FDT</t>
  </si>
  <si>
    <t>FDI</t>
  </si>
  <si>
    <t>FDS</t>
  </si>
  <si>
    <t>BLANCO CENIZAS FDT</t>
  </si>
  <si>
    <t>BLANCO PROTEÍNA FDT</t>
  </si>
  <si>
    <t>Blanco cenizas FDI</t>
  </si>
  <si>
    <t>Blanco proteína FDI</t>
  </si>
  <si>
    <t>Blanco cenizas FDS</t>
  </si>
  <si>
    <t>Blanco proteína FDS</t>
  </si>
  <si>
    <t>0696-18</t>
  </si>
  <si>
    <t>Refresco de limón refrigerado</t>
  </si>
  <si>
    <t>Gritz de maíz referencia 01_ lote: 190218-D</t>
  </si>
  <si>
    <t>0735-18</t>
  </si>
  <si>
    <t>0735-19</t>
  </si>
  <si>
    <t>cold fill: Identificado en la tapa con CF y tiene un color azul más concentrado_Día 105_Temperatura 35 °C_Lote:L280617 09 45</t>
  </si>
  <si>
    <t>Hot fill: Identificado en la tapa con CF y ademas tiene un color azul mas leve_Día 105_Temperatura: 35 °C_Lote: L280617 13 47</t>
  </si>
  <si>
    <t>0434-18</t>
  </si>
  <si>
    <t>0435-18</t>
  </si>
  <si>
    <t>0513-18</t>
  </si>
  <si>
    <t>0516-18</t>
  </si>
  <si>
    <t>0528-18</t>
  </si>
  <si>
    <t>0546-18</t>
  </si>
  <si>
    <t>Arepa día 0</t>
  </si>
  <si>
    <t>Manzana día 0</t>
  </si>
  <si>
    <t>Mermelada día 0</t>
  </si>
  <si>
    <t>0732-18</t>
  </si>
  <si>
    <t>Barquillos relleno_ lote: 20180303</t>
  </si>
  <si>
    <t>0737-18</t>
  </si>
  <si>
    <t>Panela en polvo instantánea_ lote: 59</t>
  </si>
  <si>
    <t>0536-18</t>
  </si>
  <si>
    <t>Tomate día 0</t>
  </si>
  <si>
    <t>0524-18</t>
  </si>
  <si>
    <t>0764-18</t>
  </si>
  <si>
    <t>Arepas con quinoa y semillas de chía_ lote: T3</t>
  </si>
  <si>
    <t>Bebida de leche de almendras con probióticos_lote:060318</t>
  </si>
  <si>
    <t>0769-18</t>
  </si>
  <si>
    <t>MATRIZ</t>
  </si>
  <si>
    <t>PROMEDIO</t>
  </si>
  <si>
    <t>Pollo día 0</t>
  </si>
  <si>
    <t>Repollo día 0</t>
  </si>
  <si>
    <t>0518-18</t>
  </si>
  <si>
    <t>Huevo día 0</t>
  </si>
  <si>
    <t>Arepas con quinoa y semillas de chía_ lote: T3 FDT</t>
  </si>
  <si>
    <t>Aromática, cubos saborizados de panela instantánea_ lote: 39 FDT</t>
  </si>
  <si>
    <t>0812-18</t>
  </si>
  <si>
    <t>bebida Láctea</t>
  </si>
  <si>
    <t>MOJONNIER</t>
  </si>
  <si>
    <t>0853-18</t>
  </si>
  <si>
    <t>Maíz allo clas ref 12_ lote: 070318</t>
  </si>
  <si>
    <t>0854-18</t>
  </si>
  <si>
    <t>Maíz allo clas ref 12_ lote: 020318</t>
  </si>
  <si>
    <t>Going gel energético guayaba día 16, temperatura 35°_ lote: 1-300118</t>
  </si>
  <si>
    <t>0690-18</t>
  </si>
  <si>
    <t>Going gel energético guayaba día 16, temperatura 45°_ lote: 1-300118</t>
  </si>
  <si>
    <t>0691-18</t>
  </si>
  <si>
    <t>Maíz amarillo clasificado ref 12</t>
  </si>
  <si>
    <t>0388-18</t>
  </si>
  <si>
    <t>Stevia industrial S_ lote: SI2018-001</t>
  </si>
  <si>
    <t>0848-18</t>
  </si>
  <si>
    <t>0849-18</t>
  </si>
  <si>
    <t>Stevia repostero_ lote: 004-001</t>
  </si>
  <si>
    <t>0874-18</t>
  </si>
  <si>
    <t>Barras de Panela Instantanea_Lote : L073 18</t>
  </si>
  <si>
    <t>0877-18</t>
  </si>
  <si>
    <t>Pasta mucílago</t>
  </si>
  <si>
    <t>0894-18</t>
  </si>
  <si>
    <t>Refresco naranja piña 30%</t>
  </si>
  <si>
    <t>Refresco frutas tropicales 30%</t>
  </si>
  <si>
    <t>0895-18</t>
  </si>
  <si>
    <t>Bebida con jugo de naranja 75%</t>
  </si>
  <si>
    <t>0920-18</t>
  </si>
  <si>
    <t>0896-18</t>
  </si>
  <si>
    <t>Bebida con jugo de limón</t>
  </si>
  <si>
    <t>Refresco naranja piña 30% FDT</t>
  </si>
  <si>
    <t>Refresco frutas tropicales 30% FDT</t>
  </si>
  <si>
    <t>Papa frita pollo_ lote: 114</t>
  </si>
  <si>
    <t>0866-18</t>
  </si>
  <si>
    <t>Papa frita natural_ lote: 114</t>
  </si>
  <si>
    <t>0867-18</t>
  </si>
  <si>
    <t>0868-18</t>
  </si>
  <si>
    <t>0869-18</t>
  </si>
  <si>
    <t>0870-18</t>
  </si>
  <si>
    <t>Papa frita limón_ lote: 114</t>
  </si>
  <si>
    <t>Bolita queso (extruido de maíz)_ lote: 114</t>
  </si>
  <si>
    <t>Tozimiel(pellet harina de trigo)_ lote: 114</t>
  </si>
  <si>
    <t>Almuerzo parrilla _ lote: 114</t>
  </si>
  <si>
    <t>Almuerzo limón _ lote: 114</t>
  </si>
  <si>
    <t>Almuerzo natural _ lote: 114</t>
  </si>
  <si>
    <t>0871-18</t>
  </si>
  <si>
    <t>0872-18</t>
  </si>
  <si>
    <t>0873-18</t>
  </si>
  <si>
    <t>NO HUBO VIRAJE</t>
  </si>
  <si>
    <t>Pan de bono, NUI: A-25462_ lote: 4769</t>
  </si>
  <si>
    <t>0878-18</t>
  </si>
  <si>
    <t>1029-18</t>
  </si>
  <si>
    <t>1034-18</t>
  </si>
  <si>
    <t>1035-18</t>
  </si>
  <si>
    <t>1036-18</t>
  </si>
  <si>
    <t>1037-18</t>
  </si>
  <si>
    <t>1031-18</t>
  </si>
  <si>
    <t>Palito con queso x 6 und hojaldrado _ lote: 2103</t>
  </si>
  <si>
    <t>Gritz de maíz referencia 22_ lote: 270318</t>
  </si>
  <si>
    <t>R06685-R producto ganadería.</t>
  </si>
  <si>
    <t>R06713-R producto ganadería.</t>
  </si>
  <si>
    <t>R06772-R producto ganadería.</t>
  </si>
  <si>
    <t>R06841-R producto ganadería.</t>
  </si>
  <si>
    <t>1051-38</t>
  </si>
  <si>
    <t>Maíz bco clas ref 13_ lote: 030418</t>
  </si>
  <si>
    <t>Arroz_ lote: 4150318</t>
  </si>
  <si>
    <t>0972-18</t>
  </si>
  <si>
    <t>0973-18</t>
  </si>
  <si>
    <t>Lenteja_ lote: 5230318</t>
  </si>
  <si>
    <t>0974-18</t>
  </si>
  <si>
    <t>Arveja_ lote: 5210318</t>
  </si>
  <si>
    <t>0975-19</t>
  </si>
  <si>
    <t>Soya_ lote: 7130319</t>
  </si>
  <si>
    <t>1087-18</t>
  </si>
  <si>
    <t>Maíz amarillo nacional_ lote: Cesar Zuluaga Granada Meta</t>
  </si>
  <si>
    <t>1088-18</t>
  </si>
  <si>
    <t>1089-18</t>
  </si>
  <si>
    <t>Maíz blanco americano_ lote: La soberana.</t>
  </si>
  <si>
    <t>Maíz amarillo americano_ lote: Motonave: Vincent Genesis</t>
  </si>
  <si>
    <t>Pita bites de chocolate sin azúcar.</t>
  </si>
  <si>
    <t>1044-18</t>
  </si>
  <si>
    <t>Doña guayaba light con fibra_ lote: 051-2</t>
  </si>
  <si>
    <t>1067-18</t>
  </si>
  <si>
    <t>Doña guayaba light con fibra_ lote: 051-2 FDI</t>
  </si>
  <si>
    <t>Doña guayaba light con fibra_ lote: 051-2 FDS</t>
  </si>
  <si>
    <t>Pescado adobado congelado_ lote: Código: LV4636</t>
  </si>
  <si>
    <t>1072-18</t>
  </si>
  <si>
    <t>1073-18</t>
  </si>
  <si>
    <t>1075-18</t>
  </si>
  <si>
    <t>Pescado Ahumado Vacío_congelado_ lote: código: LV4637</t>
  </si>
  <si>
    <t>Pescado esterilizado escurrido_ lote: código: LV4638</t>
  </si>
  <si>
    <t>1074-18</t>
  </si>
  <si>
    <t>Waffle vivanatur_frutos rojos_ lote: LV4634</t>
  </si>
  <si>
    <t>Leche en polvo entera marca Deli Milk_ lote: 4107130418</t>
  </si>
  <si>
    <t>1076-18</t>
  </si>
  <si>
    <t>Corrección por grasa en g de N /100 g</t>
  </si>
  <si>
    <t>Maíz amarillo clasificado ref 12_ lote: 130418</t>
  </si>
  <si>
    <t>1132-18</t>
  </si>
  <si>
    <t>1090-18</t>
  </si>
  <si>
    <t>Compuesto líquido 590 (Confirmar, sin remisión).</t>
  </si>
  <si>
    <t>1118-18</t>
  </si>
  <si>
    <t>Pollo congelado M1_ Lote: 36435</t>
  </si>
  <si>
    <t>Backerei palitos de queso mozarella 80 g_ lote: 020418</t>
  </si>
  <si>
    <t>1131-18</t>
  </si>
  <si>
    <t>Theobroma cacao en polvo</t>
  </si>
  <si>
    <t>1091-18</t>
  </si>
  <si>
    <t>Theobroma cacao en polvo FDI</t>
  </si>
  <si>
    <t>Theobroma cacao en polvo FDS</t>
  </si>
  <si>
    <t>Maíz amarillo americano_ lote: Motonave eos victory.</t>
  </si>
  <si>
    <t>1194-18</t>
  </si>
  <si>
    <t>1193-18</t>
  </si>
  <si>
    <t>Gritz de maíz ref 1_ lote: 060418</t>
  </si>
  <si>
    <t>Muestra Yasmìn</t>
  </si>
  <si>
    <t>Pan Caimán_ M3 Orilla del coche enfriamiento _ M1_ lote: 060 01 H_ 096 01 H</t>
  </si>
  <si>
    <t>1182-18</t>
  </si>
  <si>
    <t>SUERO</t>
  </si>
  <si>
    <t>1183-18</t>
  </si>
  <si>
    <t>1184-18</t>
  </si>
  <si>
    <t>1185-18</t>
  </si>
  <si>
    <t>1186-18</t>
  </si>
  <si>
    <t>1187-18</t>
  </si>
  <si>
    <t>1188-18</t>
  </si>
  <si>
    <t>1244-18</t>
  </si>
  <si>
    <t>1245-18</t>
  </si>
  <si>
    <t>Suero costeño_ muestra aoxlab tto día 384</t>
  </si>
  <si>
    <t>Suero costeño_ muestra aoxlab tto día 561</t>
  </si>
  <si>
    <t>Suero costeño_ muestra aoxlab tto día 833</t>
  </si>
  <si>
    <t>Suero costeño_ muestra aoxlab tto día 728</t>
  </si>
  <si>
    <t>Suero costeño_ muestra aoxlab tto día 239</t>
  </si>
  <si>
    <t>Suero costeño_ muestra aoxlab tto día 645</t>
  </si>
  <si>
    <t>Suero costeño aoxlab 643</t>
  </si>
  <si>
    <t>Suero costeño aoxlab 127</t>
  </si>
  <si>
    <t>Suero costeño aoxlab 427</t>
  </si>
  <si>
    <t>1243-18</t>
  </si>
  <si>
    <t>BASE SECA</t>
  </si>
  <si>
    <t>R07426_ Harina de Maíz_ Marca: MOLINOS DEL ATLÁNTICO.</t>
  </si>
  <si>
    <t>1081-18</t>
  </si>
  <si>
    <t>R07234_ Torta de soya_ Marca: Bunge.</t>
  </si>
  <si>
    <t>1082-18</t>
  </si>
  <si>
    <t>R07235_ Semilla de algodón_ Marca: Geproticolsa.</t>
  </si>
  <si>
    <t>1083-18</t>
  </si>
  <si>
    <t>Torta de soya R07658.</t>
  </si>
  <si>
    <t>1128-18</t>
  </si>
  <si>
    <t>Torta de soya R08001-R_ Marca: ADM COLOMBIA.</t>
  </si>
  <si>
    <t>1189-18</t>
  </si>
  <si>
    <t>Muestra número R08294_ Maíz americano.</t>
  </si>
  <si>
    <t>Muestra número R08287_ DDGS</t>
  </si>
  <si>
    <t>1247-18</t>
  </si>
  <si>
    <t>1248-18</t>
  </si>
  <si>
    <t>R08396_ Maíz Seaboard_ Mn Sinop_ Marca: Seaboard Overseas.</t>
  </si>
  <si>
    <t>1270-18</t>
  </si>
  <si>
    <t>R08394_ Maíz Italcol de occidente_ Mn Bunun Ace_ Marca: Seaboard Overseas.</t>
  </si>
  <si>
    <t>1271-18</t>
  </si>
  <si>
    <t>1272-18</t>
  </si>
  <si>
    <t>R08369_ Salvado de trigo_ Marca: Multigranos la espiga.</t>
  </si>
  <si>
    <t>1326-18</t>
  </si>
  <si>
    <t>1327-18</t>
  </si>
  <si>
    <t>1328-18</t>
  </si>
  <si>
    <t>1329-18</t>
  </si>
  <si>
    <t>Salvado de trigo_ R08675_ Marca: Fernando Jiménez.</t>
  </si>
  <si>
    <t>Gritz de maíz ref 1_ lote: 200418-A</t>
  </si>
  <si>
    <t>Gritz de maíz ref 1_ lote: 200418-B</t>
  </si>
  <si>
    <t>Gritz de maíz ref 1_ lote: 200418-C</t>
  </si>
  <si>
    <t>Caramelo de fruta canuto estevia.</t>
  </si>
  <si>
    <t>1211-18</t>
  </si>
  <si>
    <t>Narankao Fibra.</t>
  </si>
  <si>
    <t>1340-18</t>
  </si>
  <si>
    <t>1346-18</t>
  </si>
  <si>
    <t>1347-18</t>
  </si>
  <si>
    <t>1348-18</t>
  </si>
  <si>
    <t>Color_ Conditodo_ lote: 826041820</t>
  </si>
  <si>
    <t>Pimienta_ Conditodo_ lote: 831031807</t>
  </si>
  <si>
    <t>Canela_ Conditodo_ lote: 804041810</t>
  </si>
  <si>
    <t>Narankao Fibra. FDI</t>
  </si>
  <si>
    <t>Narankao Fibra. FDS</t>
  </si>
  <si>
    <t>Mayonesa Premium_ Código: LV4646_ lote: 310318.</t>
  </si>
  <si>
    <t>1298-18</t>
  </si>
  <si>
    <t>Mayonesa Americana _ Lote: 230318_ Código: LV4647.</t>
  </si>
  <si>
    <t>1300-18</t>
  </si>
  <si>
    <t>1299-18</t>
  </si>
  <si>
    <t>1301-18</t>
  </si>
  <si>
    <t>1302-18</t>
  </si>
  <si>
    <t>Salsa de tomate clásica_ Código: LV4649_ lote: 230318</t>
  </si>
  <si>
    <t>Salsa de tomate clásica _ Lote: 230318_ Código: LV4650.</t>
  </si>
  <si>
    <t>Salsa de tomate premium _ Lote: 040418_ Código: LV4648</t>
  </si>
  <si>
    <t>Arepa campesina sin queso_ NUI: A-25859_ lote: 4810.</t>
  </si>
  <si>
    <t>1365-18</t>
  </si>
  <si>
    <t>Desviación Estándar</t>
  </si>
  <si>
    <t>Maíz amarillo americano_ Lote: MOTONAVE: GENCO ARDENNES.</t>
  </si>
  <si>
    <t>1433-18</t>
  </si>
  <si>
    <t>1434-18</t>
  </si>
  <si>
    <t>Maíz amarillo americano_ Lote: MOTONAVE: NORD EMPEROR.</t>
  </si>
  <si>
    <t>Bolita de leche_ Código: LV4686</t>
  </si>
  <si>
    <t>1358-18</t>
  </si>
  <si>
    <t>1357-18</t>
  </si>
  <si>
    <t>Trocitos de pechuga de pollo M1 (1118-18)_lote: 36435 _ Código: LV4686</t>
  </si>
  <si>
    <t>1359-18</t>
  </si>
  <si>
    <t>Trocitos de pechuga de pollo M2_lote: 36535</t>
  </si>
  <si>
    <t>1360-18</t>
  </si>
  <si>
    <t>Trocitos de pechuga de pollo P1.</t>
  </si>
  <si>
    <t>1361-18</t>
  </si>
  <si>
    <t>Pechuga sin piel P3</t>
  </si>
  <si>
    <t>Pechuga de pollo P2</t>
  </si>
  <si>
    <t>1362-18</t>
  </si>
  <si>
    <t>1363-19</t>
  </si>
  <si>
    <t>Trocitos de pechuga M3_ Lote: 471236</t>
  </si>
  <si>
    <t>1356-18</t>
  </si>
  <si>
    <t>Jugo de corozo concentrado_ Código: LV4685</t>
  </si>
  <si>
    <t>Muestra de alimento para cerdo- pellet_ Fase 1</t>
  </si>
  <si>
    <t>1371-18</t>
  </si>
  <si>
    <t>1372-18</t>
  </si>
  <si>
    <t>1373-18</t>
  </si>
  <si>
    <t>Muestra de alimento para cerdo- pellet_ Preini</t>
  </si>
  <si>
    <t>Muestra de alimento para cerdo- pellet_ Ini</t>
  </si>
  <si>
    <t>1466-18</t>
  </si>
  <si>
    <t>Maíz amarillo clasificado ref 12_ lote: 070518</t>
  </si>
  <si>
    <t>Mezcla de Stevia_ lote: 0013-001</t>
  </si>
  <si>
    <t>1370-18</t>
  </si>
  <si>
    <t>1_ HOMMUS_ Lote: HMO1180307_ Código: LV4555.</t>
  </si>
  <si>
    <t>1445-18</t>
  </si>
  <si>
    <t>kolgel colágeno hidrolizado con vitamina C_ Lote: 180201-1</t>
  </si>
  <si>
    <t>1451-18</t>
  </si>
  <si>
    <t>1452-18</t>
  </si>
  <si>
    <t>1453-18</t>
  </si>
  <si>
    <t>1454-18</t>
  </si>
  <si>
    <t>1455-18</t>
  </si>
  <si>
    <t>1456-18</t>
  </si>
  <si>
    <t>1457-18</t>
  </si>
  <si>
    <t>1458-18</t>
  </si>
  <si>
    <t>kolgel colágeno hidrolizado con vitamina C_ Lote: 180202-1</t>
  </si>
  <si>
    <t>Kolgel mezcla_ lote: 180203-01</t>
  </si>
  <si>
    <t>Kolgel mezcla_ lote: 180204-01</t>
  </si>
  <si>
    <t>Kolgel mezcla_ lote: 180205-01</t>
  </si>
  <si>
    <t>Kolgel mezcla_ lote: 180206-01</t>
  </si>
  <si>
    <t>Kolgel mezcla_ lote: 180207-01</t>
  </si>
  <si>
    <t>Kolgel mezcla_ lote: 180208-01</t>
  </si>
  <si>
    <t>Cereal de maíz y quinua (90/10)_ lote: 22180519</t>
  </si>
  <si>
    <t>1484-18</t>
  </si>
  <si>
    <t>1481-18</t>
  </si>
  <si>
    <t>Pollo apanado_ lote: 113,114,116_Código: LV4769.</t>
  </si>
  <si>
    <t>Guacamole natural_ Código: LV4770_ Lote: mayo 4/2018</t>
  </si>
  <si>
    <t>1482-18</t>
  </si>
  <si>
    <t>1497-18</t>
  </si>
  <si>
    <t>Leche en polvo entera marca Deli Milk_ lote: 4181120518</t>
  </si>
  <si>
    <t>Yabolin clachis_ lote: 9 agosto 2018_ Código: LV4783.</t>
  </si>
  <si>
    <t>1505-18</t>
  </si>
  <si>
    <t>R10743_ Maíz extruido_ Día 0</t>
  </si>
  <si>
    <t>1524-18</t>
  </si>
  <si>
    <t>1363-18</t>
  </si>
  <si>
    <t xml:space="preserve">Trocitos de pechuga M3_ Lote: 471236	</t>
  </si>
  <si>
    <t>1493-18</t>
  </si>
  <si>
    <t>Torta de soya_ lote: M/N GENCO</t>
  </si>
  <si>
    <t>1493-19</t>
  </si>
  <si>
    <t>PROTEÍNA EN FASE LÍQUIDA</t>
  </si>
  <si>
    <t>Concentrado proteico de soya_ lote: 160518</t>
  </si>
  <si>
    <t>1494-18</t>
  </si>
  <si>
    <t>1494-19</t>
  </si>
  <si>
    <t>Concentrado proteico de soya_ lote: 160519</t>
  </si>
  <si>
    <t>Desviación estándar</t>
  </si>
  <si>
    <t>1554-18</t>
  </si>
  <si>
    <t>Maíz amarillo americano_ lote: MOTONAVE: ORIENT ALLIANCE</t>
  </si>
  <si>
    <t>Catalán Salchicha de cerdo Berlinesa_ lote: 19/05/18</t>
  </si>
  <si>
    <t>Catalán Roast Beef_ lote: 08/05/18</t>
  </si>
  <si>
    <t>1537-18</t>
  </si>
  <si>
    <t>1538-18</t>
  </si>
  <si>
    <t>1539-18</t>
  </si>
  <si>
    <t>Catalán Jamón York_ lote: 02/05/18</t>
  </si>
  <si>
    <t>1540-18</t>
  </si>
  <si>
    <t>Chorizo LV4771_ lote: 12418</t>
  </si>
  <si>
    <t>Aguacate en trozos con sal ahumada_ Código: LV4803_ Lote: 1802198211</t>
  </si>
  <si>
    <t>1564-18</t>
  </si>
  <si>
    <t>1536-18</t>
  </si>
  <si>
    <t>Chorizo tradicional_ lote: 22/03/18</t>
  </si>
  <si>
    <t>1534-18</t>
  </si>
  <si>
    <t>Harina de hueso.</t>
  </si>
  <si>
    <t xml:space="preserve">Concentración </t>
  </si>
  <si>
    <t>Transmitancia</t>
  </si>
  <si>
    <t>Absorbancia</t>
  </si>
  <si>
    <t>Curvas Fósforo</t>
  </si>
  <si>
    <t>Curva Fósforo</t>
  </si>
  <si>
    <t>Blanco Fibra dietaria total</t>
  </si>
  <si>
    <t>Chorizo LV4771_ lote: 12419</t>
  </si>
  <si>
    <t>Chorizo LV4771_ lote: 12418 FDT</t>
  </si>
  <si>
    <t>R10743_ Maíz extruido_ Día 12_ Temperatura: 35°C</t>
  </si>
  <si>
    <t>1608-18</t>
  </si>
  <si>
    <t>R10743_ Maíz extruido_ Día 12_ Temperatura: 45°C</t>
  </si>
  <si>
    <t>1609-18</t>
  </si>
  <si>
    <t>Filete de tilapia marinado apanado crudo_ Código: LV4813</t>
  </si>
  <si>
    <t>1563-18</t>
  </si>
  <si>
    <t>1564-19</t>
  </si>
  <si>
    <t>Aguacate en trozos con sal ahumada_ Código: LV4803_ Lote: 1802198211 FDT</t>
  </si>
  <si>
    <t>Observaciones</t>
  </si>
  <si>
    <t>Semanario nutrisano_ mixtura de frutos secos_ lote: 1117_ LV4831</t>
  </si>
  <si>
    <t>Semanario nutrisano_ mixtura de frutos secos_ lote: 1117_ LV4833</t>
  </si>
  <si>
    <t>1619-18</t>
  </si>
  <si>
    <t>1594-18</t>
  </si>
  <si>
    <t>1610-18</t>
  </si>
  <si>
    <t>Prueba helado con chocolate y galletas.</t>
  </si>
  <si>
    <t>Alimento en polvo a base de proteína concentrada de suero para preparar alimentos.</t>
  </si>
  <si>
    <t>1640-18</t>
  </si>
  <si>
    <t>Pasta minifusilli arroz integral_ lote: L180191AF.</t>
  </si>
  <si>
    <t>Semanario nutrisano_ mixtura de frutos secos_ lote: 1117_ LV4833 FDT</t>
  </si>
  <si>
    <t>1615-18</t>
  </si>
  <si>
    <t>Tomillo entero_ lote: 7130318</t>
  </si>
  <si>
    <t xml:space="preserve">Laurel entero_ lote: 8190418	</t>
  </si>
  <si>
    <t>1616-18</t>
  </si>
  <si>
    <t>1617-18</t>
  </si>
  <si>
    <t xml:space="preserve">Avena en hojuelas_ lote: 8160518		</t>
  </si>
  <si>
    <t>1618-18</t>
  </si>
  <si>
    <t xml:space="preserve">Soya_ lote: 4270418	</t>
  </si>
  <si>
    <t>1626-18</t>
  </si>
  <si>
    <t>Concentrate coffe mucilage_ °Brix: 63°_ pH: 5,18_ lote: 90.</t>
  </si>
  <si>
    <t>1731-18</t>
  </si>
  <si>
    <t>R10743_ Maíz extruido_ Día 19_ Temperatura: 35°C</t>
  </si>
  <si>
    <t>1732-18</t>
  </si>
  <si>
    <t>R10743_ Maíz extruido_ Día 19_ Temperatura: 45°C</t>
  </si>
  <si>
    <t>1296-18</t>
  </si>
  <si>
    <t>Maíz americano_ R08640_ Marca: INGREDION.</t>
  </si>
  <si>
    <t>1297-18</t>
  </si>
  <si>
    <t>Torta de soya_ R08526_ Marca: APA</t>
  </si>
  <si>
    <t>1349-18</t>
  </si>
  <si>
    <t>1350-18</t>
  </si>
  <si>
    <t>Harina de maíz_ R08335_ Marca:Agrograins</t>
  </si>
  <si>
    <t>Forraje de maíz_ R08847_ Marca: Ingredion</t>
  </si>
  <si>
    <t>1420-18</t>
  </si>
  <si>
    <t>Salvado de trigo_ R09415_ Marca: Fernando Jiménez.</t>
  </si>
  <si>
    <t>1421-18</t>
  </si>
  <si>
    <t>Semilla de algodón_ R09416_ Marca: Geproticolsa.</t>
  </si>
  <si>
    <t>1695-18</t>
  </si>
  <si>
    <t>1696-18</t>
  </si>
  <si>
    <t>1697-18</t>
  </si>
  <si>
    <t>1698-18</t>
  </si>
  <si>
    <t>KW3</t>
  </si>
  <si>
    <t>HL3</t>
  </si>
  <si>
    <t>BL2</t>
  </si>
  <si>
    <t>HW3</t>
  </si>
  <si>
    <t>1699-18</t>
  </si>
  <si>
    <t>BW2</t>
  </si>
  <si>
    <t>1700-18</t>
  </si>
  <si>
    <t>1701-18</t>
  </si>
  <si>
    <t>1702-18</t>
  </si>
  <si>
    <t>1703-18</t>
  </si>
  <si>
    <t>1704-18</t>
  </si>
  <si>
    <t>HW2</t>
  </si>
  <si>
    <t>HL2</t>
  </si>
  <si>
    <t>KW1</t>
  </si>
  <si>
    <t>KW2</t>
  </si>
  <si>
    <t>CW</t>
  </si>
  <si>
    <t>1705-18</t>
  </si>
  <si>
    <t>BL3</t>
  </si>
  <si>
    <t>1706-18</t>
  </si>
  <si>
    <t>BL1</t>
  </si>
  <si>
    <t>1707-18</t>
  </si>
  <si>
    <t>BW1</t>
  </si>
  <si>
    <t>1708-18</t>
  </si>
  <si>
    <t>KL1</t>
  </si>
  <si>
    <t>1709-18</t>
  </si>
  <si>
    <t>CL</t>
  </si>
  <si>
    <t>1710-18</t>
  </si>
  <si>
    <t>BW3</t>
  </si>
  <si>
    <t>1711-18</t>
  </si>
  <si>
    <t>HW1</t>
  </si>
  <si>
    <t>1712-18</t>
  </si>
  <si>
    <t>KL2</t>
  </si>
  <si>
    <t>1713-18</t>
  </si>
  <si>
    <t>KL3</t>
  </si>
  <si>
    <t>1714-18</t>
  </si>
  <si>
    <t>HL1</t>
  </si>
  <si>
    <t>1743-18</t>
  </si>
  <si>
    <t>Salchichón mixto_ código: LV4834.</t>
  </si>
  <si>
    <t>Queso doble crema lácteos fresco_ código: LV4832.</t>
  </si>
  <si>
    <t>1744-18</t>
  </si>
  <si>
    <t>punta de anca de cerdo glaseada lote: 131118_LV4835</t>
  </si>
  <si>
    <t>1785-18</t>
  </si>
  <si>
    <t>1779-18</t>
  </si>
  <si>
    <t>Frijol soya en bolsa ziploc</t>
  </si>
  <si>
    <t>Frijol soya en bolsa ziploc (soluble en KOH)</t>
  </si>
  <si>
    <t>1804-18</t>
  </si>
  <si>
    <t>Maiz amarillo clasificado Ref. 12_Lote:080612</t>
  </si>
  <si>
    <t>1809-18</t>
  </si>
  <si>
    <t>Maiz Blanco Nacional</t>
  </si>
  <si>
    <r>
      <rPr>
        <b/>
        <sz val="12"/>
        <rFont val="Arial"/>
        <family val="2"/>
      </rPr>
      <t>Formato para el registro de datos primarios del ensayo de proteínas</t>
    </r>
    <r>
      <rPr>
        <sz val="12"/>
        <color theme="1"/>
        <rFont val="Arial"/>
        <family val="2"/>
      </rPr>
      <t xml:space="preserve">
</t>
    </r>
    <r>
      <rPr>
        <sz val="12"/>
        <color theme="3"/>
        <rFont val="Arial"/>
        <family val="2"/>
      </rPr>
      <t>AOXLAB S.A.S</t>
    </r>
  </si>
  <si>
    <t>1803-18</t>
  </si>
  <si>
    <t>R10743_ Maíz extruido_ Día 26_ Temperatura: 35°C</t>
  </si>
  <si>
    <t xml:space="preserve">punta de anca de cerdo glaseada lote: 131118_LV4835	</t>
  </si>
  <si>
    <t>punta de anca de cerdo glaseada lote: 131118_LV4835 FDT</t>
  </si>
  <si>
    <t>GRITS DE MAIZ REF 1_LOTE:120618-A</t>
  </si>
  <si>
    <t>1875-18</t>
  </si>
  <si>
    <t>1876-18</t>
  </si>
  <si>
    <t>GRITS DE MAIZ REF 1_LOTE:120618-B</t>
  </si>
  <si>
    <t>GRITS DE MAIZ REF 1_LOTE:120618-C</t>
  </si>
  <si>
    <t>1908-18</t>
  </si>
  <si>
    <t>Alimento preiniciador 8504 COD : A 1589</t>
  </si>
  <si>
    <t>Alimento Crecimiento 8505 COD : A 1590</t>
  </si>
  <si>
    <t>1909-18</t>
  </si>
  <si>
    <t>Alimento reproductores jovenes 8395 COD : A 1591</t>
  </si>
  <si>
    <t>1910-18</t>
  </si>
  <si>
    <t>1805-18</t>
  </si>
  <si>
    <t>Mora liofilizada_Lote: 18053121</t>
  </si>
  <si>
    <t>1806-18</t>
  </si>
  <si>
    <t>One peace_Lote: 020518</t>
  </si>
  <si>
    <t>1861-18</t>
  </si>
  <si>
    <t>MAZAMORRA LISTA PARA CONSUMIR_ LOTE: 53_ LV4850</t>
  </si>
  <si>
    <t>Azúcares reductores</t>
  </si>
  <si>
    <t>1902-19</t>
  </si>
  <si>
    <t>R10743_ Maíz extruido_ Día 33_ Temperatura: 35°C</t>
  </si>
  <si>
    <t>1933-18</t>
  </si>
  <si>
    <t>Aceite de Palma R12774_ID Muestra 15-06-18</t>
  </si>
  <si>
    <t>Panela pulverizada Jaime martines_ Lote: 17118_ Vence: 200619</t>
  </si>
  <si>
    <t>1919-18</t>
  </si>
  <si>
    <t>Panela pulverizada Cesar Lopera_ Lote: 17118_ Vence: 200619</t>
  </si>
  <si>
    <t>1920-18</t>
  </si>
  <si>
    <t>Panela pulverizada Lubin Muñeton_ 17118_ Vence: 200619</t>
  </si>
  <si>
    <t>1921-18</t>
  </si>
  <si>
    <t>Panela Bloque Ramiro patiño_Lote:157-18_ Vence:061018</t>
  </si>
  <si>
    <t>1922-18</t>
  </si>
  <si>
    <t>1923-18</t>
  </si>
  <si>
    <t>Panelin Agrosario_ Vence: 012019</t>
  </si>
  <si>
    <t>1924-18</t>
  </si>
  <si>
    <t>Campamento_Lote: 11618_Vence:260818</t>
  </si>
  <si>
    <t>Jugo de Naranja_ Lote L5200618</t>
  </si>
  <si>
    <t>1925-18</t>
  </si>
  <si>
    <t>1928-18</t>
  </si>
  <si>
    <t>Te de limon_ Lote L3190618</t>
  </si>
  <si>
    <t>Te de durazno_ Lote L4190618</t>
  </si>
  <si>
    <t>1929-18</t>
  </si>
  <si>
    <t>FFOM</t>
  </si>
  <si>
    <t>Maiz clasificado blanco Ref 13</t>
  </si>
  <si>
    <t>2020-18</t>
  </si>
  <si>
    <t>Ruffo mini 2018060501_ Cliente Raza_ Codigo: A1623</t>
  </si>
  <si>
    <t>1985-18</t>
  </si>
  <si>
    <t>1986-18</t>
  </si>
  <si>
    <t>Scan Deli cachorros 2018053001_ Cliente Raza_ Codigo: A1624</t>
  </si>
  <si>
    <t>1987-18</t>
  </si>
  <si>
    <t>1989-18</t>
  </si>
  <si>
    <t>Raza Perros 2018060901_ Cliente Raza_ Codigo: A1625</t>
  </si>
  <si>
    <t>Mf croquetas 2018060201_ Cliente Raza_ Codigo: A1626</t>
  </si>
  <si>
    <t>Fibramix _ Cliente Raza_ Codigo: A1606</t>
  </si>
  <si>
    <t>Gritz de maíz referencia 1_ lote: 260618-A</t>
  </si>
  <si>
    <t>2073-18</t>
  </si>
  <si>
    <t>Gritz de maíz referencia 1_ lote: 260618-B</t>
  </si>
  <si>
    <t>2074-18</t>
  </si>
  <si>
    <t>2075-18</t>
  </si>
  <si>
    <t>Gritz de maíz referencia 1_ lote: 260618-C</t>
  </si>
  <si>
    <t>1988-18</t>
  </si>
  <si>
    <t>Chorizo tradicional Doña Rosa con proteína LV4820-1 Lote: 220318</t>
  </si>
  <si>
    <t>2051-18</t>
  </si>
  <si>
    <t>2010-18</t>
  </si>
  <si>
    <t>Pasta spaghetti arroz integral Lote: L180255ASP</t>
  </si>
  <si>
    <t>2015-18</t>
  </si>
  <si>
    <t>2025-18</t>
  </si>
  <si>
    <t>Waffle- Pancake Mix Avena Sabor a chocolate</t>
  </si>
  <si>
    <t>Pasta spaghetti arroz integral Lote: L180255ASP FDT</t>
  </si>
  <si>
    <t>DULCE DE LECHE ESPECIAL FDI</t>
  </si>
  <si>
    <t>DULCE DE LECHE ESPECIAL FDS</t>
  </si>
  <si>
    <t>DULCE DE LECHE ESPECIAL</t>
  </si>
  <si>
    <t>2035-18</t>
  </si>
  <si>
    <t>R10743_ Maíz extruido_ Día 40_ Temperatura: 35°C</t>
  </si>
  <si>
    <t>1953-18</t>
  </si>
  <si>
    <t>Simulación digestión SHIME: E. Premix</t>
  </si>
  <si>
    <t>2100-18</t>
  </si>
  <si>
    <t>Avena molida Lote:8100518</t>
  </si>
  <si>
    <t>2101-18</t>
  </si>
  <si>
    <t>Frijol Caraota Lote: 0290618</t>
  </si>
  <si>
    <t>Harina de pescado R 12173</t>
  </si>
  <si>
    <t>2016-18</t>
  </si>
  <si>
    <t>2017-18</t>
  </si>
  <si>
    <t>Frijol soya R13053</t>
  </si>
  <si>
    <t>Harina de pescado R12174</t>
  </si>
  <si>
    <t>2018-18</t>
  </si>
  <si>
    <t>2019-18</t>
  </si>
  <si>
    <t>Harina de pollo R13115</t>
  </si>
  <si>
    <t>Alimento+E.premix 75 ppm AE u-encapsulado (Inclusión: 450g/Ton alimento) 1000g</t>
  </si>
  <si>
    <t>1948-18</t>
  </si>
  <si>
    <t>1949-18</t>
  </si>
  <si>
    <t>1950-18</t>
  </si>
  <si>
    <t>1951-18</t>
  </si>
  <si>
    <t>1952-18</t>
  </si>
  <si>
    <t>Alimento+E.premix 50 ppm AE u-encapsulado (Inclusión: 300g/Ton alimento) 1000g</t>
  </si>
  <si>
    <t>Simulación digestión SHIME: Alimento en harina para pollo en etapade engorde (Sin APC ni ancticoccidial)</t>
  </si>
  <si>
    <t>Simulación digestión SHIME: E. Premix u-encapsulado</t>
  </si>
  <si>
    <t>2026-18</t>
  </si>
  <si>
    <t>2027-18</t>
  </si>
  <si>
    <t>Simulación digestión SHIME TTO 1: Alimento+E.premix 75 ppm AE u-encapsulado (Inclusión: 450g/Ton alimento) 1000g</t>
  </si>
  <si>
    <t>Simulación digestión SHIME TTO 2: Alimento+E.premix 50 ppm AE u-encapsulado (Inclusión: 300g/Ton alimento) 1000g</t>
  </si>
  <si>
    <t>2076-18</t>
  </si>
  <si>
    <t>Té negro en conversión píramidal LOT: 27738</t>
  </si>
  <si>
    <t>2117-18</t>
  </si>
  <si>
    <t>R10743_ Maíz extruido_ Día 47_ Temperatura: 35°C</t>
  </si>
  <si>
    <t>Papas freidas sabor a pollo amb. 25°C COD: LV4833</t>
  </si>
  <si>
    <t>Papas freidas sabor a pollo amb. 45°C COD: LV4833</t>
  </si>
  <si>
    <t>Pollo _ Granja la Isla Galpon 3_ 27/06/18</t>
  </si>
  <si>
    <t>2125-18</t>
  </si>
  <si>
    <t>2126-18</t>
  </si>
  <si>
    <t>Pollo_ Galpon 1_Hembra_ El tablon</t>
  </si>
  <si>
    <t>2127-18</t>
  </si>
  <si>
    <t>Pollo _Galpon 4_Hembra</t>
  </si>
  <si>
    <t>2141-18</t>
  </si>
  <si>
    <t>Leche en Polvo entera marca Deli Milk_ Lote: 4105140718</t>
  </si>
  <si>
    <t>2137-18</t>
  </si>
  <si>
    <t>Leche en Polvo azucarada Lote: 2730 Vencimiento Junio 5/ 2019</t>
  </si>
  <si>
    <t>2138-18</t>
  </si>
  <si>
    <t>Alimento Lacteo Lote 1730 Vence: Junio 10/2017</t>
  </si>
  <si>
    <t>2132-18</t>
  </si>
  <si>
    <t>Coco Proveedor Antiguo Lote: LM6664</t>
  </si>
  <si>
    <t>2133-18</t>
  </si>
  <si>
    <t>Coco Proveedor Nuevo 2 Lote: LM6665</t>
  </si>
  <si>
    <t>2164-18</t>
  </si>
  <si>
    <t>chuzo de Pollo_Lote:2702</t>
  </si>
  <si>
    <t>REPETICION</t>
  </si>
  <si>
    <t>2136-18</t>
  </si>
  <si>
    <t>HELADO EN POLVO PARA MALTEADA LOTE: 04/07/2018</t>
  </si>
  <si>
    <t>2441-18</t>
  </si>
  <si>
    <t>Coco Proveedor Nuevo 2 Lote: LM666</t>
  </si>
  <si>
    <t>2287-18</t>
  </si>
  <si>
    <t>Agua con colageno día 0 _Lote: 12800618 - 29 de Junio de 2018</t>
  </si>
  <si>
    <t>R10743_ Maíz extruido_ Día 61_ Temperatura: 35°C</t>
  </si>
  <si>
    <t>2315-18</t>
  </si>
  <si>
    <t>2218-18</t>
  </si>
  <si>
    <t>Pollo de engorde 3 pierna perniles; Granja: La Isla, Empresa: el Dorado, Galpon 1</t>
  </si>
  <si>
    <t>2219-18</t>
  </si>
  <si>
    <t>Pollo de engorde 2 pierna pernil; Granja: Santa Rita, Empresa: Promitec, Galpon 5, Sexo: MIXTO</t>
  </si>
  <si>
    <t>2220-18</t>
  </si>
  <si>
    <t>Pollo de engorde,2 pierna pernil; Granja: Santa Rita, Empresa: Promitec, Galpon 3, Sexo: Hembra</t>
  </si>
  <si>
    <t>2288-18</t>
  </si>
  <si>
    <t>LINAFIB_Mezcla en polvo a base de linaza, avena y semillas enteras de ajonjolí y de chia_Lote:17100</t>
  </si>
  <si>
    <t>Ensayo 1 (ammonium sulfate)</t>
  </si>
  <si>
    <t>Ensayo 2 ( Cacao carrez Iy II)</t>
  </si>
  <si>
    <t>g/100 mL</t>
  </si>
  <si>
    <t>%CV</t>
  </si>
  <si>
    <t>chuzo de Pollo_Lote:2703</t>
  </si>
  <si>
    <t>2164-19</t>
  </si>
  <si>
    <t>2286-18</t>
  </si>
  <si>
    <t>chuzo de Pollo_Lote:2702 FDT</t>
  </si>
  <si>
    <t>Cofit_Lote: 0073060 FDI</t>
  </si>
  <si>
    <t>Cofit_Lote: 0073060 FDS</t>
  </si>
  <si>
    <t>Standard reference material 3287 Blueberry (Fruit)</t>
  </si>
  <si>
    <t>3287-18</t>
  </si>
  <si>
    <t>% CV</t>
  </si>
  <si>
    <t>Bebida proteína suero Hypro_Lote: L1110718</t>
  </si>
  <si>
    <t>2225-18</t>
  </si>
  <si>
    <t>Promedio % de grasa m/m</t>
  </si>
  <si>
    <t>2356-18</t>
  </si>
  <si>
    <t>Maiz clasificado Amarillo, ref 12 lote: 140718</t>
  </si>
  <si>
    <t>Se sugiere realizar re-análisis</t>
  </si>
  <si>
    <t>2297-18</t>
  </si>
  <si>
    <t>3233-18</t>
  </si>
  <si>
    <t>SRM 3233 - Fortified Breakfast Cereal</t>
  </si>
  <si>
    <t>Postre Maracuya- chia lote 19211 jul</t>
  </si>
  <si>
    <t>Curva de calibración Fósforo 2018/07/27</t>
  </si>
  <si>
    <t>Concentración</t>
  </si>
  <si>
    <t>% Transmitancia</t>
  </si>
  <si>
    <t>Analista</t>
  </si>
  <si>
    <t>% Fósforo promedio</t>
  </si>
  <si>
    <t xml:space="preserve">% Fósforo </t>
  </si>
  <si>
    <t xml:space="preserve">Desviación estándar </t>
  </si>
  <si>
    <t>Ensayo de Azúcares totales y reductores</t>
  </si>
  <si>
    <r>
      <rPr>
        <b/>
        <sz val="12"/>
        <rFont val="Arial"/>
        <family val="2"/>
      </rPr>
      <t>Formato para el registro de datos primarios del ensayo de Ensayo de Azúcares totales y reductores</t>
    </r>
    <r>
      <rPr>
        <sz val="12"/>
        <color theme="1"/>
        <rFont val="Arial"/>
        <family val="2"/>
      </rPr>
      <t xml:space="preserve">
</t>
    </r>
    <r>
      <rPr>
        <sz val="12"/>
        <color theme="3"/>
        <rFont val="Arial"/>
        <family val="2"/>
      </rPr>
      <t>AOXLAB S.A.S</t>
    </r>
  </si>
  <si>
    <r>
      <t>Identificación:</t>
    </r>
    <r>
      <rPr>
        <b/>
        <sz val="12"/>
        <color theme="3"/>
        <rFont val="Arial"/>
        <family val="2"/>
      </rPr>
      <t>FOR-TC-055</t>
    </r>
  </si>
  <si>
    <r>
      <rPr>
        <b/>
        <sz val="12"/>
        <rFont val="Arial"/>
        <family val="2"/>
      </rPr>
      <t>Inicio de vigencia:</t>
    </r>
    <r>
      <rPr>
        <sz val="12"/>
        <color theme="1"/>
        <rFont val="Arial"/>
        <family val="2"/>
      </rPr>
      <t xml:space="preserve"> </t>
    </r>
    <r>
      <rPr>
        <b/>
        <sz val="12"/>
        <color theme="3"/>
        <rFont val="Arial"/>
        <family val="2"/>
      </rPr>
      <t>2018/05/22</t>
    </r>
  </si>
  <si>
    <t>mg Fosf/1000g</t>
  </si>
  <si>
    <t>Sulfato de amonio</t>
  </si>
  <si>
    <t>AM1046817740</t>
  </si>
  <si>
    <t>AM1046817741</t>
  </si>
  <si>
    <t>Promedio g Proteína / 100g muestra   o                       Promedio g N/100 g muestra</t>
  </si>
  <si>
    <t>El promedio reportado corresponde al contenido de N por cada 100 g de (NH4)2SO4. El contenido teórico de N en (NH4)2SO4 es 21,20 g/100 g.</t>
  </si>
  <si>
    <t>Papas de pollo 35°C</t>
  </si>
  <si>
    <t>Papas de pollo 45°C</t>
  </si>
  <si>
    <t>2305-18</t>
  </si>
  <si>
    <t>2306-18</t>
  </si>
  <si>
    <t>2309-18</t>
  </si>
  <si>
    <t>Yogurt Griego lote 0080-18</t>
  </si>
  <si>
    <t>2298-18</t>
  </si>
  <si>
    <t>Postre todo chocolate- lote: 19211 jul</t>
  </si>
  <si>
    <t>2299-18</t>
  </si>
  <si>
    <t>Postre pasión de chocolate lote:19312 jul</t>
  </si>
  <si>
    <t>2300-18</t>
  </si>
  <si>
    <t>Postre Avellana y limon lote: 19212 jul</t>
  </si>
  <si>
    <t>2301-18</t>
  </si>
  <si>
    <t>Postre tiramusi ligth lote 19111 jul</t>
  </si>
  <si>
    <t>2302-18</t>
  </si>
  <si>
    <t>Postre Arequipe ligth lote 19212</t>
  </si>
  <si>
    <t>2303-18</t>
  </si>
  <si>
    <t>Postre Parfait de fresa lote: 19211 jul</t>
  </si>
  <si>
    <t>2304-18</t>
  </si>
  <si>
    <t>Postre Cafe y chocolate lote 19111 jul</t>
  </si>
  <si>
    <t>BLANCO</t>
  </si>
  <si>
    <t>DUPLICADO DE MATRIZ</t>
  </si>
  <si>
    <t>Harina de visera, lote: 120/18</t>
  </si>
  <si>
    <t>2317-18</t>
  </si>
  <si>
    <t>2318-18</t>
  </si>
  <si>
    <t>Harina de visera, lote: 124100</t>
  </si>
  <si>
    <t>2319-18</t>
  </si>
  <si>
    <t>Harina de pescado, lote: 040518</t>
  </si>
  <si>
    <t>2320-18</t>
  </si>
  <si>
    <t>Harina de pescado, lote: 020518</t>
  </si>
  <si>
    <t>Panelitas Caramelo y leche, lote: 81198- 81196 FV julio/2019</t>
  </si>
  <si>
    <t>Panelitas Caramelo y leche, lote: 81198- 81196 FV julio/2020</t>
  </si>
  <si>
    <t>2344-18</t>
  </si>
  <si>
    <t>2344-19</t>
  </si>
  <si>
    <t>Panelitas Caramelo y leche, lote: 81198- 81196 FV julio/2021</t>
  </si>
  <si>
    <t>2344-20</t>
  </si>
  <si>
    <t>2354-18</t>
  </si>
  <si>
    <t>2355-18</t>
  </si>
  <si>
    <t>2357-18</t>
  </si>
  <si>
    <t>Maiz clasificado blanco Ref 13 lote: 180718</t>
  </si>
  <si>
    <t>Maiz clasificado Amarillo, ref 12 lote:160718</t>
  </si>
  <si>
    <t>Duplicado de matriz</t>
  </si>
  <si>
    <t>MRS +LACID</t>
  </si>
  <si>
    <t>MRS +LACID+GLUCOSA</t>
  </si>
  <si>
    <t>MRS+LACID+MUESTRA</t>
  </si>
  <si>
    <t>ACEITES Y GRASAS</t>
  </si>
  <si>
    <t>AGUA POTABLE</t>
  </si>
  <si>
    <t>ALIMENTO ANIMAL</t>
  </si>
  <si>
    <t>ALIMENTOS ELABORADOS</t>
  </si>
  <si>
    <t>NOTA: FAVOR NO MOVER NI INSERTAR NOMBRE DE COLUMNA A ESTA LISTA.</t>
  </si>
  <si>
    <t>ALIMENTOS PROCEDENTES DE ANIMALES SILVESTRES</t>
  </si>
  <si>
    <t>SI SE DESEA AÑADIR OTRA OPCION, INSERTELA AL FINAL</t>
  </si>
  <si>
    <t>BEBIDAS</t>
  </si>
  <si>
    <t>CACAO Y DERIVADOS</t>
  </si>
  <si>
    <t>CAFÉ Y DERIVADOS</t>
  </si>
  <si>
    <t>CARNE</t>
  </si>
  <si>
    <t>CONFITERIA</t>
  </si>
  <si>
    <t>COSMÉTICOS</t>
  </si>
  <si>
    <t>FRUTAS</t>
  </si>
  <si>
    <t>HIERBAS, ESPECIAS, SALSAS</t>
  </si>
  <si>
    <t>HORTALIZAS AMILÁCEAS</t>
  </si>
  <si>
    <t>HORTALIZAS VERDES</t>
  </si>
  <si>
    <t>HUEVOS</t>
  </si>
  <si>
    <t>LECHE Y PRODUCTOS LACTEOS</t>
  </si>
  <si>
    <t>LEGUMBRES</t>
  </si>
  <si>
    <t>MONITOREO AMBIENTE</t>
  </si>
  <si>
    <t>NUECES Y SEMILLAS</t>
  </si>
  <si>
    <t>OTRAS HORTALIZAS</t>
  </si>
  <si>
    <t>PESCADO</t>
  </si>
  <si>
    <t>PRODUCTOS DE COCO</t>
  </si>
  <si>
    <t>PRODUCTOS MARINOS</t>
  </si>
  <si>
    <t>RESINAS FENÓLICAS</t>
  </si>
  <si>
    <t>CEREALES Y PRODUCTOS DERIVADOS</t>
  </si>
  <si>
    <t>EQUIPOS Y SUPERFICIES</t>
  </si>
  <si>
    <t>PLASMA</t>
  </si>
  <si>
    <t>SUPLEMENTOS DIETARIOS</t>
  </si>
  <si>
    <t>Maiz amarillo argentino, Motonave seas-Lote SEAS</t>
  </si>
  <si>
    <t>2380-18</t>
  </si>
  <si>
    <t>2379-18</t>
  </si>
  <si>
    <t>Torta de soya- tribilin -lote: A1813</t>
  </si>
  <si>
    <t>2542-18</t>
  </si>
  <si>
    <t>Agua con colageno día 18 Lote: 12800618 - 29 de Junio de 2018 - 35°C</t>
  </si>
  <si>
    <t>2543-18</t>
  </si>
  <si>
    <t>Agua con colageno día 18 Lote: 12800618 - 29 de Junio de 2018 - 45°C</t>
  </si>
  <si>
    <t>Torta de soya- tribilin -lote: A1814</t>
  </si>
  <si>
    <t>2379-19</t>
  </si>
  <si>
    <t>2395-18</t>
  </si>
  <si>
    <t>STEVIA ZERO- LOTE: 005-006</t>
  </si>
  <si>
    <t>Filete de pollo LV 4840</t>
  </si>
  <si>
    <t>Pasta carnica lote- 0115-18</t>
  </si>
  <si>
    <t>2444-18</t>
  </si>
  <si>
    <t>2445-18</t>
  </si>
  <si>
    <t>Filete de pollo LV 4840 FDT</t>
  </si>
  <si>
    <t>Fibra de naranja FDI</t>
  </si>
  <si>
    <t>Fibra de naranja FDS</t>
  </si>
  <si>
    <t>2458-18</t>
  </si>
  <si>
    <t>2552-18</t>
  </si>
  <si>
    <t>Bebida achocolatada con proteina de suero - Lote 81212 FV SEP 2019</t>
  </si>
  <si>
    <t>Frijol cargamanto rojo - lote 4170718</t>
  </si>
  <si>
    <t>2480-18</t>
  </si>
  <si>
    <t>2481-18</t>
  </si>
  <si>
    <t>Frijol cargamanto blanco - lote 4170718 17:46</t>
  </si>
  <si>
    <t>2571-18</t>
  </si>
  <si>
    <t>CMC-AIP- Lote Piloto</t>
  </si>
  <si>
    <t>Agua con colageno día 25 Lote: 12800618 - 29 de Junio de 2018 - 45°C</t>
  </si>
  <si>
    <t>2595-18</t>
  </si>
  <si>
    <t>2596-18</t>
  </si>
  <si>
    <t>Agua con colageno día 25 Lote: 12800618 - 29 de Junio de 2018 - 35°C</t>
  </si>
  <si>
    <t>2601-18</t>
  </si>
  <si>
    <t>R10743_ Maíz extruido_ Día 82_ Temperatura: 35°C</t>
  </si>
  <si>
    <t>Queso Fresco doble crema- lote 0102 18</t>
  </si>
  <si>
    <t>2550-18</t>
  </si>
  <si>
    <t>2551-18</t>
  </si>
  <si>
    <t>Queso Fresco variedad paisa - lote 0092 18</t>
  </si>
  <si>
    <t>Queso Fresco variedad paisa - lote 0092 19</t>
  </si>
  <si>
    <t>Progeny Limonada de sandia Lote L07-1 FL</t>
  </si>
  <si>
    <t>2579-18</t>
  </si>
  <si>
    <t>Pull de torta de soya - lote Semana 1-6 agosto - Proveedor Varios</t>
  </si>
  <si>
    <t>2605-18</t>
  </si>
  <si>
    <t>Mezcla en polvo para preparar bebidas con colageno PILOTO 1</t>
  </si>
  <si>
    <t>Mezcla en polvo para preparar bebidas con colageno PILOTO 1 FDT</t>
  </si>
  <si>
    <t>2657-18</t>
  </si>
  <si>
    <t>2656-18</t>
  </si>
  <si>
    <t>Planta San P. Lacteos -Muestra Lactosuero en polvo parcialmente desmineralizado -Marca Colanta - ID muestra 3507020001- FV Diciembre 18</t>
  </si>
  <si>
    <t>Planta San P. Lacteos -Muestra Lactosuero en polvo parcialmente desmineralizado -Marca Colanta - ID muestra 2767020001- FV Octubre 18</t>
  </si>
  <si>
    <t>Planta San P. Lacteos -Muestra Lactosuero en polvo parcialmente desmineralizado -Marca Colanta - ID muestra 1138020001- FV Abril 2019</t>
  </si>
  <si>
    <t>Planta San P. Lacteos -Muestra Lactosuero en polvo parcialmente desmineralizado -Marca Colanta - ID muestra 1238020001- FV Mayo 2019</t>
  </si>
  <si>
    <t>Planta San P. Lacteos -Muestra Lactosuero en polvo parcialmente desmineralizado -Marca Colanta - ID muestra 2018020001- FV Julio 2019</t>
  </si>
  <si>
    <t>2658-18</t>
  </si>
  <si>
    <t>2659-18</t>
  </si>
  <si>
    <t>2660-18</t>
  </si>
  <si>
    <t>R10743_ Maíz extruido_ Día 90 _ Temperatura: 35°C</t>
  </si>
  <si>
    <t>2720-18</t>
  </si>
  <si>
    <t>Agua con colageno día 33 Lote: 12800618 - 29 de Junio de 2018 - 35°C</t>
  </si>
  <si>
    <t>2722-18</t>
  </si>
  <si>
    <t>Agua con colageno día 33 Lote: 12800618 - 29 de Junio de 2018 - 45°C</t>
  </si>
  <si>
    <t>2723-18</t>
  </si>
  <si>
    <t>Galleta avena F.F 08-08-18 / FV:18-08-2018 codigo: 0192-18</t>
  </si>
  <si>
    <t>Muffin F.F 08-08-18 / FV:18-08-2018 Codigo: 0193-18</t>
  </si>
  <si>
    <t>Alfajor F.F 08-08-18 / FV:18-08-2018 Codigo: 0194-18</t>
  </si>
  <si>
    <t>Filete de pechuga Codigo: 0195-18</t>
  </si>
  <si>
    <t>Muslos sin piel codigo: 0196-18</t>
  </si>
  <si>
    <t>Filete de contramuslo codigo: 0197-18</t>
  </si>
  <si>
    <t>2687-18</t>
  </si>
  <si>
    <t>2688-17</t>
  </si>
  <si>
    <t>2689-18</t>
  </si>
  <si>
    <t>2690-18</t>
  </si>
  <si>
    <t>2691-18</t>
  </si>
  <si>
    <t>2704-18</t>
  </si>
  <si>
    <t>NAOX Vital- Lote 001</t>
  </si>
  <si>
    <t>2687-19</t>
  </si>
  <si>
    <t>2688-18</t>
  </si>
  <si>
    <t>2688-19</t>
  </si>
  <si>
    <t>Galleta avena F.F 08-08-18 / FV:18-08-2018 codigo: 0192-18 FDT</t>
  </si>
  <si>
    <t>Muffin F.F 08-08-18 / FV:18-08-2018 Codigo: 0193-18 FDT</t>
  </si>
  <si>
    <t>2689-19</t>
  </si>
  <si>
    <t>2689-20</t>
  </si>
  <si>
    <t>2689-21</t>
  </si>
  <si>
    <t xml:space="preserve">Galleta avena F.F 08-08-18 / FV:18-08-2018 codigo: 0192-18 </t>
  </si>
  <si>
    <t>Pendiente</t>
  </si>
  <si>
    <t>Intercepto</t>
  </si>
  <si>
    <t>Concentración Real</t>
  </si>
  <si>
    <t>%error</t>
  </si>
  <si>
    <t>Verificación 2018/08/24 de Curva de calibración Fósforo 2018/05/04</t>
  </si>
  <si>
    <t>Fertisal 3 % R 15930- PLANTA CONCENTRADOS - MARCA SEABOARD SPECIAL ID MUESTRA 06-08-2018 FV 0 ENERO 00</t>
  </si>
  <si>
    <t>2695-18</t>
  </si>
  <si>
    <t>2696-18</t>
  </si>
  <si>
    <t>Fertisal 4 % R 15936- PLANTA CONCENTRADOS - MARCA SEABOARD SPECIAL ID MUESTRA 06-08-2019 FV 0 ENERO 00</t>
  </si>
  <si>
    <t>2697-18</t>
  </si>
  <si>
    <t>Fertisal 6% R 15944- PLANTA CONCENTRADOS - MARCA SEABOARD SPECIAL ID MUESTRA 06-08-2020 FV 0 ENERO 00</t>
  </si>
  <si>
    <t>2698-18</t>
  </si>
  <si>
    <t>Fertisal 6% con RUMENSIN R15946- PLANTA CONCENTRADOS - MARCA SEABOARD SPECIAL ID MUESTRA 06-08-2021 FV 0 ENERO 00</t>
  </si>
  <si>
    <t>2699-18</t>
  </si>
  <si>
    <t>Fertisal 8% R15960- PLANTA CONCENTRADOS - MARCA SEABOARD SPECIAL ID MUESTRA 06-08-2022 FV 0 ENERO 00</t>
  </si>
  <si>
    <t>2700-18</t>
  </si>
  <si>
    <t>Fertisal 9% R15962- PLANTA CONCENTRADOS - MARCA SEABOARD SPECIAL ID MUESTRA 06-08-2023 FV 0 ENERO 00</t>
  </si>
  <si>
    <t>Salsa de Ajo - Lote: 002 - Codigo: 0201-18</t>
  </si>
  <si>
    <t>2706-18</t>
  </si>
  <si>
    <t>Agua con colageno día 40 Lote: 12800618 - 29 de Junio de 2018 - 35°C</t>
  </si>
  <si>
    <t>Agua con colageno día 40 Lote: 12800618 - 29 de Junio de 2018 - 45°C</t>
  </si>
  <si>
    <t>2756-18</t>
  </si>
  <si>
    <t>2757-18</t>
  </si>
  <si>
    <t>R10743_ Maíz extruido_ Día 97 _ Temperatura: 35°C</t>
  </si>
  <si>
    <t>2760-18</t>
  </si>
  <si>
    <t>Queso pera lacteos la nevada lote 10082018 -Código 0211-18-006 - Solicitud 02142</t>
  </si>
  <si>
    <t>2727-18</t>
  </si>
  <si>
    <t>Queso campesino cerinza pasteurizado lote 13082018 -Código 0211-18-003</t>
  </si>
  <si>
    <t>2728-18</t>
  </si>
  <si>
    <t>2734-18</t>
  </si>
  <si>
    <t>Suero en polvo ENS# 8</t>
  </si>
  <si>
    <t>Agua residual</t>
  </si>
  <si>
    <t>2735-19</t>
  </si>
  <si>
    <t>MRS+LACID (2)</t>
  </si>
  <si>
    <t>MRS+LACID+GLUCOSA+GLUCOSA (2)</t>
  </si>
  <si>
    <t>MRS+LACID+MUESTRA (2)</t>
  </si>
  <si>
    <t>MRS+LACID+1949-18 (1)</t>
  </si>
  <si>
    <t>DUPLICADO DE MATRIZ ( MRS+LACID+1949-18 (1))</t>
  </si>
  <si>
    <t>MRS+LACID+1949-18 (2)</t>
  </si>
  <si>
    <t>MRS+LACID+1950-18 (1)</t>
  </si>
  <si>
    <t>MRS+LACID+1950-18 (2)</t>
  </si>
  <si>
    <t>MRS+LACID+1951-18 (1)</t>
  </si>
  <si>
    <t>MRS+LACID+1951-18 (2)</t>
  </si>
  <si>
    <t>MRS+LACID+1952-18 (1)</t>
  </si>
  <si>
    <t>MRS+LACID+1952-18 (2)</t>
  </si>
  <si>
    <t>MRS+LACID+1953-18 (1)</t>
  </si>
  <si>
    <t>MRS+LACID+1953-18 (2)</t>
  </si>
  <si>
    <t>ESTANDAR DE SACAROSA 20%</t>
  </si>
  <si>
    <t>&lt; LIMITE DE CUANTIFICACIÓN 0,05 g/100g</t>
  </si>
  <si>
    <t>2707-18</t>
  </si>
  <si>
    <t>2708-18</t>
  </si>
  <si>
    <t>Dulce de guayaba en cubitos azucarados, doña guayaba LOTE 2618 VM</t>
  </si>
  <si>
    <t>Endulzante cero calorias con stevia, Tabletas incauca zero - LOTE MIZST180701</t>
  </si>
  <si>
    <t>Suero en polvo + Cafe- Lote ENS # 4 -533</t>
  </si>
  <si>
    <t>2733-18</t>
  </si>
  <si>
    <t>Endulzante cero calorias con stevia, Tabletas incauca zero - LOTE MIZST180701 FDT</t>
  </si>
  <si>
    <t>Suero en polvo + Cafe- Lote ENS # 4 -533 FDT</t>
  </si>
  <si>
    <t>Dulce de guayaba en cubitos azucarados, doña guayaba LOTE 2618 VM FDI</t>
  </si>
  <si>
    <t>Dulce de guayaba en cubitos azucarados, doña guayaba LOTE 2618 VM FDS</t>
  </si>
  <si>
    <t>TRIPTOFANO+SACAROSA</t>
  </si>
  <si>
    <t>Verificación 2018/09/03 de Curva de calibración Fósforo 2018/05/04</t>
  </si>
  <si>
    <t>Agua con colageno día 47 Lote: 12800618 - 29 de Junio de 2018 - 35°C</t>
  </si>
  <si>
    <t>2906-18</t>
  </si>
  <si>
    <t>Agua con colageno día 47 Lote: 12800618 - 29 de Junio de 2018 - 45°C</t>
  </si>
  <si>
    <t>2907-18</t>
  </si>
  <si>
    <t>R10743_ Maíz extruido_ Día 104 _ Temperatura: 35°C</t>
  </si>
  <si>
    <t>2909-18</t>
  </si>
  <si>
    <t>Claro- Lote 8240818- FV 24 AGOSTO 19</t>
  </si>
  <si>
    <t>2917-18</t>
  </si>
  <si>
    <t>2786-18</t>
  </si>
  <si>
    <t>Producto terminado Pan caiman- lote L234</t>
  </si>
  <si>
    <t xml:space="preserve">Rollo de carne - del horno- Codigo 0221-18-001	</t>
  </si>
  <si>
    <t>2775-18</t>
  </si>
  <si>
    <t>2776-18</t>
  </si>
  <si>
    <t xml:space="preserve">Carne de hamburguesa -Sr Bufalo -Lote 021- Código 0211-18-006	</t>
  </si>
  <si>
    <t>2777-18</t>
  </si>
  <si>
    <t>Pulpa de guanabana- Pulpivilla- Codigo 0214-18-001</t>
  </si>
  <si>
    <t xml:space="preserve">Mermelada de uchuva -El Robledal-Lote 170718-Codigo 0214-18-002	</t>
  </si>
  <si>
    <t>2778-18</t>
  </si>
  <si>
    <t>Mermelada de Pimenton - Lote: 003 Codigo: 0200-18</t>
  </si>
  <si>
    <t>2781-18</t>
  </si>
  <si>
    <t>Mix de frutas deshidratadas - solicitud 02142- codigo 0229-18</t>
  </si>
  <si>
    <t>2891-18</t>
  </si>
  <si>
    <t xml:space="preserve">Morcilla x 500g Lote:22918 Codigo: 0230-18	</t>
  </si>
  <si>
    <t>2779-18</t>
  </si>
  <si>
    <t>Avena en Hojuelas lote L104</t>
  </si>
  <si>
    <t>2935-18</t>
  </si>
  <si>
    <t>Papas fritas Proximal basico( sin fibra), Fecha de producción 22 agosto de 2018</t>
  </si>
  <si>
    <t>2893-19</t>
  </si>
  <si>
    <t>Pulpa de guanabana- Pulpivilla- Codigo 0214-18-001 FDT</t>
  </si>
  <si>
    <t>Mermelada de uchuva -El Robledal-Lote 170718-Codigo 0214-18-002	FDT</t>
  </si>
  <si>
    <t>Mermelada de Pimenton - Lote: 003 Codigo: 0200-18 FDT</t>
  </si>
  <si>
    <t>Mix de frutas deshidratadas - solicitud 02142- codigo 0229-18 FDT</t>
  </si>
  <si>
    <t xml:space="preserve">Morcilla x 500g Lote:22918 Codigo: 0230-18 FDT	</t>
  </si>
  <si>
    <t>Avena en Hojuelas lote L104 FDT</t>
  </si>
  <si>
    <t>2861-18</t>
  </si>
  <si>
    <t>2862-18</t>
  </si>
  <si>
    <t>2863-18</t>
  </si>
  <si>
    <t>2864-18</t>
  </si>
  <si>
    <t>2865-18</t>
  </si>
  <si>
    <t>2866-18</t>
  </si>
  <si>
    <t>2867-18</t>
  </si>
  <si>
    <t>Soya Extruida</t>
  </si>
  <si>
    <t>Mogolla de trigo</t>
  </si>
  <si>
    <t>Ponedora pico</t>
  </si>
  <si>
    <t>Calcio Grano</t>
  </si>
  <si>
    <t>Torta de soya</t>
  </si>
  <si>
    <t>Maiz amarillo</t>
  </si>
  <si>
    <t>Calcio polvo</t>
  </si>
  <si>
    <t>Agua con colageno día 54 Lote: 12800618 - 29 de Junio de 2018 - 35°C</t>
  </si>
  <si>
    <t>2995-18</t>
  </si>
  <si>
    <t>2996-18</t>
  </si>
  <si>
    <t>Agua con colageno día 54 Lote: 12800618 - 29 de Junio de 2018 -45°C</t>
  </si>
  <si>
    <t>2998-18</t>
  </si>
  <si>
    <t>R10743_ Maíz extruido_ Día 111_ Temperatura: 35°C</t>
  </si>
  <si>
    <t>2903-18</t>
  </si>
  <si>
    <t>Torta de soya -Lote M/N AS ELBIA- Proveedor ADM</t>
  </si>
  <si>
    <t>Torta de soya -Lote M/N AS ELBIA- Proveedor ADM (Proteína en fase líquida)</t>
  </si>
  <si>
    <t>EFICIENCIA DE DIGESTIÓN</t>
  </si>
  <si>
    <t>EFICIENCIA DE DESTILACIÓN</t>
  </si>
  <si>
    <t>2904-18</t>
  </si>
  <si>
    <t>Suero de leche -Lote 280818 -Proveedor Parmalat</t>
  </si>
  <si>
    <t>Chocolate del 60%</t>
  </si>
  <si>
    <t>2953-18</t>
  </si>
  <si>
    <t>2958-18</t>
  </si>
  <si>
    <t>Avena hojuelas -Lote 8270718</t>
  </si>
  <si>
    <t>2959-18</t>
  </si>
  <si>
    <t>Azucar -Lote 2290818</t>
  </si>
  <si>
    <t>Frijol Soya -Lote 5150818</t>
  </si>
  <si>
    <t>2960-18</t>
  </si>
  <si>
    <t>2960-19</t>
  </si>
  <si>
    <t>Barra de Avellana</t>
  </si>
  <si>
    <t>2980-18</t>
  </si>
  <si>
    <t>SIN VIRAJE</t>
  </si>
  <si>
    <t>2989-18</t>
  </si>
  <si>
    <t>A2070 HARINA DE CARNE -CLIENTE KKK- LOTE 10082018</t>
  </si>
  <si>
    <t>2990-18</t>
  </si>
  <si>
    <t>A2071 HARINA DE CARNE CLIENTE KKK - LOTE 10082018</t>
  </si>
  <si>
    <t>3062-18</t>
  </si>
  <si>
    <t>PANELA LOTE 021</t>
  </si>
  <si>
    <t>2991-18</t>
  </si>
  <si>
    <t>CO13414FLO- PRESENTACION: PELLET - MUESTRA DE ALIMENTO CONCENTRADO PARA CERDOS</t>
  </si>
  <si>
    <t>2992-18</t>
  </si>
  <si>
    <t>2993-18</t>
  </si>
  <si>
    <t>2994-18</t>
  </si>
  <si>
    <t>CO11114CLOTI - PRESENTACION: PELLET - MUESTRA DE ALIMENTO CONCENTRADO PARA CERDOS</t>
  </si>
  <si>
    <t>CO13114CLOTI - PRESENTACION: PELLET - MUESTRA DE ALIMENTO CONCENTRADO PARA CERDOS</t>
  </si>
  <si>
    <t>SI15114CLOTI - PRESENTACION: PELLET - MUESTRA DE ALIMENTO CONCENTRADO PARA CERDOS</t>
  </si>
  <si>
    <t>3004-18</t>
  </si>
  <si>
    <t>Chorizo Criollo - Lote 135023504</t>
  </si>
  <si>
    <t>Chorizo Criollo - Lote 135023504 FDT</t>
  </si>
  <si>
    <t>3041-18</t>
  </si>
  <si>
    <t>KOLGEL SOBRE x 10,2g LOTE 180201-01</t>
  </si>
  <si>
    <t>3042-18</t>
  </si>
  <si>
    <t>KOLGEL SOBRE x 10,2g LOTE 180202-01</t>
  </si>
  <si>
    <t>KOLGEL MEZCLA LOTE 180203-01</t>
  </si>
  <si>
    <t>KOLGEL MEZCLA LOTE 180204-01</t>
  </si>
  <si>
    <t>3043-18</t>
  </si>
  <si>
    <t>3044-18</t>
  </si>
  <si>
    <t>3045-18</t>
  </si>
  <si>
    <t>3046-18</t>
  </si>
  <si>
    <t>3047-18</t>
  </si>
  <si>
    <t>3048-18</t>
  </si>
  <si>
    <t>KOLGEL MEZCLA LOTE 180205-01</t>
  </si>
  <si>
    <t>KOLGEL MEZCLA LOTE 180206-01</t>
  </si>
  <si>
    <t>KOLGEL MEZCLA LOTE 180207-01</t>
  </si>
  <si>
    <t>KOLGEL MEZCLA LOTE 180208-01</t>
  </si>
  <si>
    <t>Curva de calibración Fósforo 2018/09/18</t>
  </si>
  <si>
    <t>3087-18</t>
  </si>
  <si>
    <t>LECHE EN POLVO ENTERA -DELIMILK LOTE 4127200918 FV 20/09/19</t>
  </si>
  <si>
    <t>Corrección por grasa</t>
  </si>
  <si>
    <t>3100-18</t>
  </si>
  <si>
    <t>3101-18</t>
  </si>
  <si>
    <t>3105-18</t>
  </si>
  <si>
    <t>3106-18</t>
  </si>
  <si>
    <t>CRISPETAS CON PROTEINA SABOR A VAINILLA CARAMELO</t>
  </si>
  <si>
    <t>CRISPETAS CON PROTEINA CON CHOCOLATE BLANCO</t>
  </si>
  <si>
    <t>CRISPETAS CON PROTEINA CON EXTRACTO DE REMOLACHA Y SABOR A MORA RED VELVET</t>
  </si>
  <si>
    <t>CRISPETAS CON PROTEINA CON SAL DEL HIMALAYA</t>
  </si>
  <si>
    <t>3111-18</t>
  </si>
  <si>
    <t>3112-18</t>
  </si>
  <si>
    <t>3113-18</t>
  </si>
  <si>
    <t>3114-18</t>
  </si>
  <si>
    <t>Salsa chile dulce LOTE:26340818 VENCE:17.08.19</t>
  </si>
  <si>
    <t>syrup maple LOTE: 24530718 VENCE: 23.07.19</t>
  </si>
  <si>
    <t>VERDE - CLEANSE</t>
  </si>
  <si>
    <t>ROJA EASE</t>
  </si>
  <si>
    <t>3152-18</t>
  </si>
  <si>
    <t>TORTA DE SOYA - CODIGO A2183 - CLIENTE AL DUQUE</t>
  </si>
  <si>
    <t>REFRESCO DE AGUA CON SABOR LOTE 500M1 FV 13/05/19</t>
  </si>
  <si>
    <t>3146-18</t>
  </si>
  <si>
    <t>MUESTRA DE ATÚN EN ACEITE GIRASOL GUSTAMAR 160g LOTE LCGA33</t>
  </si>
  <si>
    <t>3194-18</t>
  </si>
  <si>
    <t>MUESTRA DE ATÚN EN ACEITE GIRASOL GUSTAMAR 160g LOTE LCGA34</t>
  </si>
  <si>
    <t>3194-19</t>
  </si>
  <si>
    <t>MUESTRA DE ATÚN EN ACEITE GIRASOL GUSTAMAR 160g LOTE LCGA34 FDI</t>
  </si>
  <si>
    <t>MUESTRA DE ATÚN EN ACEITE GIRASOL GUSTAMAR 160g LOTE LCGA34 FDS</t>
  </si>
  <si>
    <t>Galleta de queso Lote 256</t>
  </si>
  <si>
    <t>3246-18</t>
  </si>
  <si>
    <t>Galleta de queso Lote 256 FDT</t>
  </si>
  <si>
    <t>3249-18</t>
  </si>
  <si>
    <t>3250-18</t>
  </si>
  <si>
    <t>PHOSBIC - LOTE 083018378- PROVEEDOR :QUIMPAC</t>
  </si>
  <si>
    <t>CARBONATO DE CALCIO - LOTE 091918399 PROVEEDOR EDAC</t>
  </si>
  <si>
    <t>ARROZ CRISTAL GRANOS - GRANO PARTIDO QUE MIDE ENTRE 0,25 (1/4) Y 0,75 (3/4) DE LA LONGITUD TOTAL DEL GRANO NTC 476</t>
  </si>
  <si>
    <t>3310-18</t>
  </si>
  <si>
    <t>N.AN</t>
  </si>
  <si>
    <t>REALIZÓ</t>
  </si>
  <si>
    <t>REVISÓ</t>
  </si>
  <si>
    <t>510/2018</t>
  </si>
  <si>
    <t>3735-18</t>
  </si>
  <si>
    <t>Curva de calibración Fósforo 2018/11/07</t>
  </si>
  <si>
    <t>JEAI</t>
  </si>
  <si>
    <t>INTERLABORATORIO 770</t>
  </si>
  <si>
    <t>Curva de calibración Fósforo 2018/11/29</t>
  </si>
  <si>
    <t xml:space="preserve">mg Fosforo/100mL </t>
  </si>
  <si>
    <t>JCV</t>
  </si>
  <si>
    <r>
      <rPr>
        <b/>
        <strike/>
        <sz val="10"/>
        <color theme="1"/>
        <rFont val="Arial Narrow"/>
        <family val="2"/>
      </rPr>
      <t>Reactivo</t>
    </r>
    <r>
      <rPr>
        <sz val="10"/>
        <color theme="1"/>
        <rFont val="Arial"/>
        <family val="2"/>
      </rPr>
      <t xml:space="preserve"> Molibdovanadato </t>
    </r>
  </si>
  <si>
    <t>desv</t>
  </si>
  <si>
    <t>prom</t>
  </si>
  <si>
    <t>Calculo de limite de reporte</t>
  </si>
  <si>
    <t>JTC</t>
  </si>
  <si>
    <t>1091-21</t>
  </si>
  <si>
    <t>1156-21</t>
  </si>
  <si>
    <t>FOR-TC-062-0005-2021</t>
  </si>
  <si>
    <t>1563-21</t>
  </si>
  <si>
    <t>1525-21</t>
  </si>
  <si>
    <t>FOR-TC-062-0006-2021</t>
  </si>
  <si>
    <t>1934-21</t>
  </si>
  <si>
    <t>NLRO</t>
  </si>
  <si>
    <t xml:space="preserve">NLRO </t>
  </si>
  <si>
    <t>1935-21</t>
  </si>
  <si>
    <t>FOR-TC-062-0007-2021</t>
  </si>
  <si>
    <t>2215-21</t>
  </si>
  <si>
    <t>2216-21</t>
  </si>
  <si>
    <t>2111-21</t>
  </si>
  <si>
    <t>2261-21</t>
  </si>
  <si>
    <t>FOR-TC-062-0008-2021</t>
  </si>
  <si>
    <t>rechazado</t>
  </si>
  <si>
    <t>2332-21</t>
  </si>
  <si>
    <t>2334-21</t>
  </si>
  <si>
    <t>2333-21</t>
  </si>
  <si>
    <t>FOR-TC-062-0009-2021</t>
  </si>
  <si>
    <t>2443-21</t>
  </si>
  <si>
    <t>2444-21</t>
  </si>
  <si>
    <t>FOR-TC-062-0010-2021</t>
  </si>
  <si>
    <t>2573-21</t>
  </si>
  <si>
    <t>2785-21</t>
  </si>
  <si>
    <t>FOR-TC-062-0011-2021</t>
  </si>
  <si>
    <t>3466-21</t>
  </si>
  <si>
    <t>3405-21</t>
  </si>
  <si>
    <t>3566-21</t>
  </si>
  <si>
    <t>3567-21</t>
  </si>
  <si>
    <t>FOR-TC-062-0012-2021</t>
  </si>
  <si>
    <t xml:space="preserve">CARNE </t>
  </si>
  <si>
    <t>3826-21</t>
  </si>
  <si>
    <t>FOR-TC-062-0013-2021</t>
  </si>
  <si>
    <t>4133-21</t>
  </si>
  <si>
    <t>FOR-TC-062-0014-2021</t>
  </si>
  <si>
    <t>4300-21</t>
  </si>
  <si>
    <t>4301-21</t>
  </si>
  <si>
    <t>4395-21</t>
  </si>
  <si>
    <t>FOR-TC-062-0015-2021</t>
  </si>
  <si>
    <t>4497-21</t>
  </si>
  <si>
    <t>4673-21</t>
  </si>
  <si>
    <t>FOR-TC-062-0016-2021</t>
  </si>
  <si>
    <t>4788-21</t>
  </si>
  <si>
    <t>FOR-TC-062-0017-2021</t>
  </si>
  <si>
    <t xml:space="preserve">DUPLICADO </t>
  </si>
  <si>
    <t>MATERIAL DE REFENCIA</t>
  </si>
  <si>
    <t xml:space="preserve">MUESTRA RUTINA </t>
  </si>
  <si>
    <t>Columna1</t>
  </si>
  <si>
    <t>UNIDADES</t>
  </si>
  <si>
    <t>%</t>
  </si>
  <si>
    <t>No.</t>
  </si>
  <si>
    <t>RPD %</t>
  </si>
  <si>
    <t>D. S.</t>
  </si>
  <si>
    <t>C. V. %</t>
  </si>
  <si>
    <t>L. A</t>
  </si>
  <si>
    <t>L. C.</t>
  </si>
  <si>
    <t>Identificación:</t>
  </si>
  <si>
    <t xml:space="preserve">Revisión: </t>
  </si>
  <si>
    <t>AOXLAB S.A.S</t>
  </si>
  <si>
    <t>Inicio de vigencia:</t>
  </si>
  <si>
    <t>METODO</t>
  </si>
  <si>
    <t xml:space="preserve">AOAC 989.05, AOAC 952.06, AOAC 948.15, AOAC 932.15, AOAC 932.06, AOAC 925.32, AOAC 974.09, AOAC 925.12.  </t>
  </si>
  <si>
    <t>BALANZA</t>
  </si>
  <si>
    <t>006</t>
  </si>
  <si>
    <t>CERTIFICADO DE CALIBRACION</t>
  </si>
  <si>
    <t>2020-04-22</t>
  </si>
  <si>
    <t>VIGENCIA</t>
  </si>
  <si>
    <t>SI</t>
  </si>
  <si>
    <t>ESTUFA</t>
  </si>
  <si>
    <t>Vigente</t>
  </si>
  <si>
    <t>UNIDADES REPORTE</t>
  </si>
  <si>
    <t>UNIDADES MASA</t>
  </si>
  <si>
    <t>g</t>
  </si>
  <si>
    <t>UNIDADES VOLUMEN</t>
  </si>
  <si>
    <t>ml</t>
  </si>
  <si>
    <t>LIMITE DE REPORTE (%)</t>
  </si>
  <si>
    <t>LIMITE DE MASA (g)</t>
  </si>
  <si>
    <t>FECHA MANTENIMIENTO</t>
  </si>
  <si>
    <t>FACTORES DE CORRECCIONEQUIPOS UTILIZADOS EN EL ENSAYO</t>
  </si>
  <si>
    <t>LECTURA (g)</t>
  </si>
  <si>
    <t>CORRECCION (g)</t>
  </si>
  <si>
    <t>FECHA ACTUALIZACION</t>
  </si>
  <si>
    <t>PRODUCTO TERMINADO</t>
  </si>
  <si>
    <t>M1 [g]</t>
  </si>
  <si>
    <t>M2 [g]</t>
  </si>
  <si>
    <r>
      <t xml:space="preserve">M3 [g] </t>
    </r>
    <r>
      <rPr>
        <b/>
        <sz val="8"/>
        <color theme="1"/>
        <rFont val="Century Gothic"/>
        <family val="2"/>
        <scheme val="minor"/>
      </rPr>
      <t>PESO CRISOL+MUESTRA (SECA)</t>
    </r>
  </si>
  <si>
    <r>
      <t xml:space="preserve">M4 [g]  </t>
    </r>
    <r>
      <rPr>
        <b/>
        <sz val="8"/>
        <color theme="1"/>
        <rFont val="Century Gothic"/>
        <family val="2"/>
        <scheme val="minor"/>
      </rPr>
      <t>PESO CRISOL + CENIZAS</t>
    </r>
  </si>
  <si>
    <t>M3-M1-M4-M5</t>
  </si>
  <si>
    <t>%FIBRA TOTAL</t>
  </si>
  <si>
    <t>% DE FIBRA CORRECCIÓN DE GRASA</t>
  </si>
  <si>
    <t>%Grasa y/o % humedad En la Muestra g/100g</t>
  </si>
  <si>
    <t>REALIZO</t>
  </si>
  <si>
    <t>REVISO</t>
  </si>
  <si>
    <t>Trazabilidad</t>
  </si>
  <si>
    <t>SVA</t>
  </si>
  <si>
    <t>FOR-TC-062-0013-2020</t>
  </si>
  <si>
    <t>10537-20</t>
  </si>
  <si>
    <t>FOR-TC-062-0001-2021</t>
  </si>
  <si>
    <t>0348-21</t>
  </si>
  <si>
    <t>FOR-TC-062-0002-2021</t>
  </si>
  <si>
    <t>0383-21</t>
  </si>
  <si>
    <t>FOR-TC-062-0003-2021</t>
  </si>
  <si>
    <t>0384-21</t>
  </si>
  <si>
    <t>FOR-TC-062-0004-2021</t>
  </si>
  <si>
    <t>10537-21</t>
  </si>
  <si>
    <t>LOGO</t>
  </si>
  <si>
    <t xml:space="preserve">ADJUNTO DEL NOMBRE </t>
  </si>
  <si>
    <t>LIMITE DE ALERTA</t>
  </si>
  <si>
    <t>LIMITE DE CONTROL</t>
  </si>
  <si>
    <t>ESTADO</t>
  </si>
  <si>
    <t>ACEPTADO</t>
  </si>
  <si>
    <t>SUPLEMENTOS ALIMENTICIOS</t>
  </si>
  <si>
    <t>RPD%</t>
  </si>
  <si>
    <t>MATERIA PRIMA</t>
  </si>
  <si>
    <t>PLASMA SANGUINEO</t>
  </si>
  <si>
    <t>CARTA CONTROL DE PRESICION</t>
  </si>
  <si>
    <t xml:space="preserve">UNIDADES </t>
  </si>
  <si>
    <t>Método</t>
  </si>
  <si>
    <t>Cuadro de mando para el ensayo de fibra cruda  en alimentos</t>
  </si>
  <si>
    <t>ANALISIS DE FIBRA CRUDA EN ALIMENTOS</t>
  </si>
  <si>
    <t xml:space="preserve">PRODUCTO TERMINADO </t>
  </si>
  <si>
    <t>M5</t>
  </si>
  <si>
    <t>RECHAZADO</t>
  </si>
  <si>
    <t>TIPO MUESTRA</t>
  </si>
  <si>
    <t>DOCUMENTO CONTROLADO</t>
  </si>
  <si>
    <t>Autor de documento original: LOGC750219</t>
  </si>
  <si>
    <r>
      <t xml:space="preserve">Copia controlada No. : </t>
    </r>
    <r>
      <rPr>
        <b/>
        <u/>
        <sz val="12"/>
        <rFont val="Arial"/>
        <family val="2"/>
      </rPr>
      <t>1</t>
    </r>
  </si>
  <si>
    <t>Nombre</t>
  </si>
  <si>
    <t>Puesto o función</t>
  </si>
  <si>
    <t>Firma</t>
  </si>
  <si>
    <t>Elaboró:</t>
  </si>
  <si>
    <t>Dario Pardo Pardo</t>
  </si>
  <si>
    <t>Líder de Calidad</t>
  </si>
  <si>
    <t>Revisó:</t>
  </si>
  <si>
    <t>Yasmín E. Lopera Pérez</t>
  </si>
  <si>
    <t>Gerente y Director Técnico</t>
  </si>
  <si>
    <t>Aprobó:</t>
  </si>
  <si>
    <t>Localización del documento:</t>
  </si>
  <si>
    <t>http://107.190.139.42/~aoxlabsgc/sig/</t>
  </si>
  <si>
    <t>Control de cambios</t>
  </si>
  <si>
    <t>Estado</t>
  </si>
  <si>
    <t>Fecha de inicio de vigencia</t>
  </si>
  <si>
    <t>Revisión</t>
  </si>
  <si>
    <t>Descripción del cambio realizado</t>
  </si>
  <si>
    <t>Aprobó</t>
  </si>
  <si>
    <t>YELP</t>
  </si>
  <si>
    <t>DPP</t>
  </si>
  <si>
    <t xml:space="preserve">Documento controlado, prohibida su reproducción parcial o total sin autorización. </t>
  </si>
  <si>
    <t>Página 1 de 2</t>
  </si>
  <si>
    <t>Cuadro de mando para el ensayo de fibra cruda</t>
  </si>
  <si>
    <r>
      <t>Identificación:</t>
    </r>
    <r>
      <rPr>
        <sz val="11"/>
        <color rgb="FF44546A"/>
        <rFont val="Calibri"/>
        <family val="2"/>
      </rPr>
      <t>SOFT-TC-075</t>
    </r>
  </si>
  <si>
    <t>Revisión: 1</t>
  </si>
  <si>
    <r>
      <rPr>
        <b/>
        <sz val="11"/>
        <rFont val="Calibri"/>
        <family val="2"/>
      </rPr>
      <t>Inicio de vigencia:</t>
    </r>
    <r>
      <rPr>
        <sz val="11"/>
        <color rgb="FF000000"/>
        <rFont val="Calibri"/>
        <family val="2"/>
      </rPr>
      <t xml:space="preserve"> 2020-04-01</t>
    </r>
  </si>
  <si>
    <t>SOFT-TC-075 Cuadro de mando para el ensayo de fibra cruda</t>
  </si>
  <si>
    <t>Ninguno (versión original)</t>
  </si>
  <si>
    <t>DETERMINACION DEFIBRA CRUDA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</si>
</sst>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-&quot;$&quot;\ * #,##0_-;\-&quot;$&quot;\ * #,##0_-;_-&quot;$&quot;\ * &quot;-&quot;_-;_-@_-"/>
    <numFmt numFmtId="165" formatCode="_-* #,##0_-;\-* #,##0_-;_-* &quot;-&quot;_-;_-@_-"/>
    <numFmt numFmtId="166" formatCode="0.0000"/>
    <numFmt numFmtId="167" formatCode="0.000"/>
    <numFmt numFmtId="168" formatCode="yyyy\-mm\-dd;@"/>
    <numFmt numFmtId="169" formatCode="0.0%"/>
    <numFmt numFmtId="170" formatCode="0.00000"/>
    <numFmt numFmtId="173" formatCode="yyyy\-mm\-dd"/>
  </numFmts>
  <fonts count="55" x14ac:knownFonts="1">
    <font>
      <sz val="11"/>
      <color theme="1"/>
      <name val="Century Gothic"/>
      <family val="2"/>
      <scheme val="minor"/>
    </font>
    <font>
      <sz val="11"/>
      <name val="Century Gothic"/>
      <family val="2"/>
      <scheme val="minor"/>
    </font>
    <font>
      <sz val="12"/>
      <color theme="1"/>
      <name val="Arial"/>
      <family val="2"/>
    </font>
    <font>
      <b/>
      <sz val="12"/>
      <name val="Arial"/>
      <family val="2"/>
    </font>
    <font>
      <sz val="12"/>
      <color theme="3"/>
      <name val="Arial"/>
      <family val="2"/>
    </font>
    <font>
      <b/>
      <sz val="12"/>
      <color theme="1"/>
      <name val="Arial"/>
      <family val="2"/>
    </font>
    <font>
      <b/>
      <sz val="12"/>
      <color theme="3"/>
      <name val="Arial"/>
      <family val="2"/>
    </font>
    <font>
      <vertAlign val="superscript"/>
      <sz val="10"/>
      <color theme="1"/>
      <name val="Arial"/>
      <family val="2"/>
    </font>
    <font>
      <b/>
      <sz val="10"/>
      <color theme="1"/>
      <name val="Arial"/>
      <family val="2"/>
    </font>
    <font>
      <vertAlign val="superscript"/>
      <sz val="12"/>
      <color theme="1"/>
      <name val="Arial"/>
      <family val="2"/>
    </font>
    <font>
      <b/>
      <vertAlign val="superscript"/>
      <sz val="10"/>
      <color theme="1"/>
      <name val="Arial"/>
      <family val="2"/>
    </font>
    <font>
      <sz val="10"/>
      <color theme="1"/>
      <name val="Arial"/>
      <family val="2"/>
    </font>
    <font>
      <b/>
      <vertAlign val="superscript"/>
      <sz val="12"/>
      <color theme="1"/>
      <name val="Arial"/>
      <family val="2"/>
    </font>
    <font>
      <b/>
      <sz val="14"/>
      <color theme="1"/>
      <name val="Arial"/>
      <family val="2"/>
    </font>
    <font>
      <sz val="11"/>
      <color theme="1"/>
      <name val="Century Gothic"/>
      <family val="2"/>
      <scheme val="minor"/>
    </font>
    <font>
      <vertAlign val="subscript"/>
      <sz val="10"/>
      <color theme="1"/>
      <name val="Arial"/>
      <family val="2"/>
    </font>
    <font>
      <b/>
      <sz val="11"/>
      <color theme="1"/>
      <name val="Century Gothic"/>
      <family val="2"/>
      <scheme val="minor"/>
    </font>
    <font>
      <sz val="10"/>
      <name val="Arial"/>
      <family val="2"/>
    </font>
    <font>
      <b/>
      <sz val="14"/>
      <color theme="1"/>
      <name val="Century Gothic"/>
      <family val="2"/>
      <scheme val="minor"/>
    </font>
    <font>
      <b/>
      <sz val="12"/>
      <color theme="1"/>
      <name val="Century Gothic"/>
      <family val="2"/>
      <scheme val="minor"/>
    </font>
    <font>
      <b/>
      <sz val="10"/>
      <name val="Arial"/>
      <family val="2"/>
    </font>
    <font>
      <sz val="10"/>
      <color rgb="FF000000"/>
      <name val="Arial"/>
      <family val="2"/>
    </font>
    <font>
      <b/>
      <sz val="16"/>
      <color theme="1"/>
      <name val="Century Gothic"/>
      <family val="2"/>
      <scheme val="minor"/>
    </font>
    <font>
      <sz val="12"/>
      <color theme="1"/>
      <name val="Century Gothic"/>
      <family val="2"/>
      <scheme val="minor"/>
    </font>
    <font>
      <sz val="8"/>
      <name val="Century Gothic"/>
      <family val="2"/>
      <scheme val="minor"/>
    </font>
    <font>
      <b/>
      <strike/>
      <sz val="10"/>
      <color theme="1"/>
      <name val="Arial Narrow"/>
      <family val="2"/>
    </font>
    <font>
      <sz val="10"/>
      <color rgb="FFFF0000"/>
      <name val="Arial"/>
      <family val="2"/>
    </font>
    <font>
      <b/>
      <sz val="24"/>
      <color theme="1"/>
      <name val="Arial"/>
      <family val="2"/>
    </font>
    <font>
      <b/>
      <sz val="18"/>
      <color theme="1"/>
      <name val="Arial"/>
      <family val="2"/>
    </font>
    <font>
      <b/>
      <sz val="24"/>
      <color theme="3"/>
      <name val="Arial"/>
      <family val="2"/>
    </font>
    <font>
      <b/>
      <sz val="16"/>
      <color rgb="FF000000"/>
      <name val="Arial"/>
      <family val="2"/>
    </font>
    <font>
      <b/>
      <sz val="10"/>
      <color rgb="FF000000"/>
      <name val="Arial"/>
      <family val="2"/>
    </font>
    <font>
      <b/>
      <sz val="8"/>
      <color theme="1"/>
      <name val="Century Gothic"/>
      <family val="2"/>
      <scheme val="minor"/>
    </font>
    <font>
      <b/>
      <sz val="9"/>
      <color theme="1"/>
      <name val="Century Gothic"/>
      <family val="2"/>
      <scheme val="minor"/>
    </font>
    <font>
      <b/>
      <sz val="16"/>
      <color theme="1"/>
      <name val="Arial"/>
      <family val="2"/>
    </font>
    <font>
      <b/>
      <sz val="16"/>
      <color theme="2" tint="-0.499984740745262"/>
      <name val="Arial"/>
      <family val="2"/>
    </font>
    <font>
      <b/>
      <sz val="18"/>
      <color theme="3"/>
      <name val="Arial"/>
      <family val="2"/>
    </font>
    <font>
      <b/>
      <sz val="11"/>
      <color theme="0" tint="-0.499984740745262"/>
      <name val="Century Gothic"/>
      <family val="2"/>
      <scheme val="minor"/>
    </font>
    <font>
      <b/>
      <sz val="12"/>
      <color theme="0" tint="-0.499984740745262"/>
      <name val="Century Gothic"/>
      <family val="2"/>
      <scheme val="minor"/>
    </font>
    <font>
      <sz val="11"/>
      <color rgb="FF000000"/>
      <name val="Arial"/>
      <family val="2"/>
    </font>
    <font>
      <sz val="11"/>
      <name val="Arial"/>
      <family val="2"/>
    </font>
    <font>
      <b/>
      <sz val="12"/>
      <color rgb="FF000000"/>
      <name val="Arial"/>
      <family val="2"/>
    </font>
    <font>
      <b/>
      <sz val="11"/>
      <color rgb="FF000000"/>
      <name val="Calibri"/>
      <family val="2"/>
    </font>
    <font>
      <sz val="11"/>
      <color rgb="FF44546A"/>
      <name val="Calibri"/>
      <family val="2"/>
    </font>
    <font>
      <b/>
      <sz val="10"/>
      <color rgb="FF44546A"/>
      <name val="Arial"/>
      <family val="2"/>
    </font>
    <font>
      <sz val="11"/>
      <color rgb="FF000000"/>
      <name val="Calibri"/>
      <family val="2"/>
    </font>
    <font>
      <b/>
      <sz val="11"/>
      <name val="Calibri"/>
      <family val="2"/>
    </font>
    <font>
      <b/>
      <sz val="14"/>
      <color rgb="FFFFFFFF"/>
      <name val="Arial"/>
      <family val="2"/>
    </font>
    <font>
      <b/>
      <sz val="14"/>
      <color rgb="FF000000"/>
      <name val="Arial"/>
      <family val="2"/>
    </font>
    <font>
      <b/>
      <u/>
      <sz val="12"/>
      <name val="Arial"/>
      <family val="2"/>
    </font>
    <font>
      <u/>
      <sz val="11"/>
      <color rgb="FF0563C1"/>
      <name val="Arial"/>
      <family val="2"/>
    </font>
    <font>
      <sz val="9"/>
      <color rgb="FF1F497D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8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6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25">
    <xf numFmtId="0" fontId="0" fillId="0" borderId="0"/>
    <xf numFmtId="9" fontId="14" fillId="0" borderId="0" applyFont="0" applyFill="0" applyBorder="0" applyAlignment="0" applyProtection="0"/>
    <xf numFmtId="2" fontId="14" fillId="0" borderId="13" applyNumberFormat="0">
      <alignment horizontal="center"/>
    </xf>
    <xf numFmtId="0" fontId="17" fillId="0" borderId="0"/>
    <xf numFmtId="9" fontId="17" fillId="0" borderId="0" applyFont="0" applyFill="0" applyBorder="0" applyAlignment="0" applyProtection="0"/>
    <xf numFmtId="0" fontId="14" fillId="0" borderId="0"/>
    <xf numFmtId="165" fontId="14" fillId="0" borderId="0" applyFont="0" applyFill="0" applyBorder="0" applyAlignment="0" applyProtection="0"/>
    <xf numFmtId="0" fontId="21" fillId="0" borderId="0"/>
    <xf numFmtId="9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0" fontId="39" fillId="0" borderId="0"/>
  </cellStyleXfs>
  <cellXfs count="470">
    <xf numFmtId="0" fontId="0" fillId="0" borderId="0" xfId="0"/>
    <xf numFmtId="0" fontId="1" fillId="0" borderId="13" xfId="0" applyFont="1" applyBorder="1" applyAlignment="1">
      <alignment horizontal="left"/>
    </xf>
    <xf numFmtId="0" fontId="0" fillId="0" borderId="13" xfId="0" applyBorder="1"/>
    <xf numFmtId="0" fontId="0" fillId="0" borderId="13" xfId="0" applyBorder="1" applyAlignment="1">
      <alignment horizontal="center"/>
    </xf>
    <xf numFmtId="166" fontId="0" fillId="0" borderId="13" xfId="0" applyNumberFormat="1" applyBorder="1"/>
    <xf numFmtId="166" fontId="0" fillId="0" borderId="13" xfId="0" applyNumberForma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0" fillId="0" borderId="13" xfId="0" applyBorder="1" applyAlignment="1">
      <alignment horizontal="left"/>
    </xf>
    <xf numFmtId="166" fontId="0" fillId="0" borderId="13" xfId="0" applyNumberFormat="1" applyBorder="1" applyAlignment="1">
      <alignment horizontal="center"/>
    </xf>
    <xf numFmtId="0" fontId="12" fillId="0" borderId="12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top" wrapText="1"/>
    </xf>
    <xf numFmtId="0" fontId="8" fillId="0" borderId="12" xfId="0" applyFont="1" applyBorder="1" applyAlignment="1">
      <alignment horizontal="center" vertical="top" wrapText="1"/>
    </xf>
    <xf numFmtId="0" fontId="10" fillId="0" borderId="5" xfId="0" applyFont="1" applyBorder="1" applyAlignment="1">
      <alignment vertical="top" wrapText="1"/>
    </xf>
    <xf numFmtId="0" fontId="0" fillId="0" borderId="0" xfId="0" applyAlignment="1">
      <alignment horizontal="center"/>
    </xf>
    <xf numFmtId="0" fontId="0" fillId="0" borderId="13" xfId="0" applyBorder="1" applyAlignment="1">
      <alignment horizontal="center" vertical="center"/>
    </xf>
    <xf numFmtId="167" fontId="0" fillId="0" borderId="13" xfId="0" applyNumberFormat="1" applyBorder="1" applyAlignment="1">
      <alignment horizontal="center" vertical="center"/>
    </xf>
    <xf numFmtId="167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3" xfId="0" applyBorder="1" applyAlignment="1">
      <alignment horizontal="left" vertical="center"/>
    </xf>
    <xf numFmtId="0" fontId="0" fillId="4" borderId="13" xfId="0" applyFill="1" applyBorder="1"/>
    <xf numFmtId="0" fontId="0" fillId="4" borderId="0" xfId="0" applyFill="1"/>
    <xf numFmtId="2" fontId="0" fillId="0" borderId="13" xfId="1" applyNumberFormat="1" applyFont="1" applyBorder="1" applyAlignment="1">
      <alignment horizontal="center" vertical="center"/>
    </xf>
    <xf numFmtId="14" fontId="0" fillId="0" borderId="0" xfId="0" applyNumberFormat="1"/>
    <xf numFmtId="0" fontId="8" fillId="2" borderId="12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" fillId="0" borderId="13" xfId="0" applyFont="1" applyBorder="1"/>
    <xf numFmtId="0" fontId="1" fillId="0" borderId="13" xfId="0" applyFont="1" applyBorder="1" applyAlignment="1">
      <alignment horizontal="center"/>
    </xf>
    <xf numFmtId="14" fontId="0" fillId="0" borderId="13" xfId="0" applyNumberFormat="1" applyBorder="1"/>
    <xf numFmtId="168" fontId="0" fillId="0" borderId="0" xfId="0" applyNumberFormat="1"/>
    <xf numFmtId="0" fontId="7" fillId="0" borderId="24" xfId="0" applyFont="1" applyBorder="1" applyAlignment="1">
      <alignment vertical="center" wrapText="1"/>
    </xf>
    <xf numFmtId="168" fontId="0" fillId="0" borderId="13" xfId="0" applyNumberFormat="1" applyBorder="1"/>
    <xf numFmtId="0" fontId="0" fillId="0" borderId="15" xfId="0" applyBorder="1" applyAlignment="1">
      <alignment horizontal="center"/>
    </xf>
    <xf numFmtId="14" fontId="0" fillId="0" borderId="13" xfId="0" applyNumberFormat="1" applyBorder="1" applyAlignment="1">
      <alignment horizontal="center"/>
    </xf>
    <xf numFmtId="2" fontId="0" fillId="0" borderId="0" xfId="0" applyNumberFormat="1" applyAlignment="1">
      <alignment horizontal="center"/>
    </xf>
    <xf numFmtId="0" fontId="1" fillId="0" borderId="0" xfId="0" applyFont="1" applyAlignment="1">
      <alignment horizontal="center"/>
    </xf>
    <xf numFmtId="0" fontId="0" fillId="0" borderId="18" xfId="0" applyBorder="1"/>
    <xf numFmtId="168" fontId="1" fillId="0" borderId="13" xfId="0" applyNumberFormat="1" applyFont="1" applyBorder="1" applyAlignment="1">
      <alignment horizontal="left"/>
    </xf>
    <xf numFmtId="2" fontId="0" fillId="0" borderId="13" xfId="0" applyNumberFormat="1" applyBorder="1"/>
    <xf numFmtId="2" fontId="0" fillId="0" borderId="0" xfId="0" applyNumberFormat="1"/>
    <xf numFmtId="168" fontId="0" fillId="0" borderId="16" xfId="0" applyNumberFormat="1" applyBorder="1"/>
    <xf numFmtId="0" fontId="0" fillId="0" borderId="16" xfId="0" applyBorder="1"/>
    <xf numFmtId="168" fontId="0" fillId="0" borderId="13" xfId="0" applyNumberFormat="1" applyBorder="1" applyAlignment="1">
      <alignment horizontal="center"/>
    </xf>
    <xf numFmtId="168" fontId="1" fillId="0" borderId="13" xfId="0" applyNumberFormat="1" applyFont="1" applyBorder="1"/>
    <xf numFmtId="0" fontId="0" fillId="0" borderId="15" xfId="0" applyBorder="1"/>
    <xf numFmtId="0" fontId="0" fillId="0" borderId="13" xfId="0" applyBorder="1" applyAlignment="1">
      <alignment wrapText="1"/>
    </xf>
    <xf numFmtId="0" fontId="0" fillId="0" borderId="13" xfId="0" applyBorder="1" applyAlignment="1">
      <alignment horizontal="center" vertical="top"/>
    </xf>
    <xf numFmtId="0" fontId="0" fillId="0" borderId="13" xfId="0" applyBorder="1" applyAlignment="1">
      <alignment horizontal="center" vertical="center" wrapText="1"/>
    </xf>
    <xf numFmtId="168" fontId="1" fillId="0" borderId="13" xfId="0" applyNumberFormat="1" applyFont="1" applyBorder="1" applyAlignment="1">
      <alignment horizontal="center"/>
    </xf>
    <xf numFmtId="168" fontId="0" fillId="0" borderId="13" xfId="0" applyNumberFormat="1" applyBorder="1" applyAlignment="1">
      <alignment horizontal="left"/>
    </xf>
    <xf numFmtId="166" fontId="0" fillId="0" borderId="15" xfId="0" applyNumberFormat="1" applyBorder="1" applyAlignment="1">
      <alignment horizontal="center"/>
    </xf>
    <xf numFmtId="2" fontId="0" fillId="4" borderId="13" xfId="0" applyNumberFormat="1" applyFill="1" applyBorder="1"/>
    <xf numFmtId="0" fontId="20" fillId="5" borderId="13" xfId="0" applyFont="1" applyFill="1" applyBorder="1" applyAlignment="1">
      <alignment horizontal="center" wrapText="1"/>
    </xf>
    <xf numFmtId="0" fontId="0" fillId="0" borderId="0" xfId="0" applyAlignment="1">
      <alignment horizontal="left"/>
    </xf>
    <xf numFmtId="2" fontId="0" fillId="4" borderId="13" xfId="0" applyNumberFormat="1" applyFill="1" applyBorder="1" applyAlignment="1">
      <alignment horizontal="center"/>
    </xf>
    <xf numFmtId="2" fontId="0" fillId="0" borderId="13" xfId="0" applyNumberFormat="1" applyBorder="1" applyAlignment="1">
      <alignment vertical="center"/>
    </xf>
    <xf numFmtId="2" fontId="0" fillId="0" borderId="13" xfId="0" applyNumberFormat="1" applyBorder="1" applyAlignment="1">
      <alignment horizontal="center"/>
    </xf>
    <xf numFmtId="0" fontId="0" fillId="0" borderId="18" xfId="0" applyBorder="1" applyAlignment="1">
      <alignment horizontal="center"/>
    </xf>
    <xf numFmtId="2" fontId="14" fillId="0" borderId="13" xfId="0" applyNumberFormat="1" applyFont="1" applyBorder="1" applyAlignment="1">
      <alignment horizontal="center"/>
    </xf>
    <xf numFmtId="0" fontId="16" fillId="0" borderId="13" xfId="0" applyFont="1" applyBorder="1" applyAlignment="1">
      <alignment vertical="center"/>
    </xf>
    <xf numFmtId="0" fontId="0" fillId="0" borderId="0" xfId="0" applyAlignment="1">
      <alignment vertical="center"/>
    </xf>
    <xf numFmtId="168" fontId="0" fillId="0" borderId="20" xfId="0" applyNumberFormat="1" applyBorder="1"/>
    <xf numFmtId="2" fontId="0" fillId="0" borderId="15" xfId="0" applyNumberFormat="1" applyBorder="1" applyAlignment="1">
      <alignment horizontal="center"/>
    </xf>
    <xf numFmtId="2" fontId="0" fillId="0" borderId="13" xfId="0" applyNumberFormat="1" applyBorder="1" applyAlignment="1">
      <alignment horizontal="center" vertical="center"/>
    </xf>
    <xf numFmtId="0" fontId="8" fillId="0" borderId="14" xfId="0" applyFont="1" applyBorder="1" applyAlignment="1">
      <alignment horizontal="center" vertical="center" wrapText="1"/>
    </xf>
    <xf numFmtId="0" fontId="0" fillId="0" borderId="19" xfId="0" applyBorder="1" applyAlignment="1">
      <alignment horizontal="center"/>
    </xf>
    <xf numFmtId="167" fontId="0" fillId="0" borderId="13" xfId="0" applyNumberFormat="1" applyBorder="1" applyAlignment="1">
      <alignment horizontal="center"/>
    </xf>
    <xf numFmtId="168" fontId="0" fillId="0" borderId="23" xfId="0" applyNumberFormat="1" applyBorder="1"/>
    <xf numFmtId="14" fontId="0" fillId="0" borderId="20" xfId="0" applyNumberFormat="1" applyBorder="1"/>
    <xf numFmtId="14" fontId="0" fillId="0" borderId="20" xfId="0" applyNumberFormat="1" applyBorder="1" applyAlignment="1">
      <alignment horizontal="left"/>
    </xf>
    <xf numFmtId="168" fontId="0" fillId="0" borderId="20" xfId="0" applyNumberFormat="1" applyBorder="1" applyAlignment="1">
      <alignment horizontal="left"/>
    </xf>
    <xf numFmtId="14" fontId="0" fillId="0" borderId="23" xfId="0" applyNumberFormat="1" applyBorder="1"/>
    <xf numFmtId="166" fontId="14" fillId="0" borderId="13" xfId="0" applyNumberFormat="1" applyFont="1" applyBorder="1" applyAlignment="1">
      <alignment horizontal="center"/>
    </xf>
    <xf numFmtId="2" fontId="0" fillId="0" borderId="18" xfId="0" applyNumberFormat="1" applyBorder="1" applyAlignment="1">
      <alignment horizontal="center"/>
    </xf>
    <xf numFmtId="168" fontId="0" fillId="0" borderId="18" xfId="0" applyNumberFormat="1" applyBorder="1"/>
    <xf numFmtId="166" fontId="0" fillId="0" borderId="18" xfId="0" applyNumberFormat="1" applyBorder="1" applyAlignment="1">
      <alignment horizontal="center"/>
    </xf>
    <xf numFmtId="168" fontId="0" fillId="0" borderId="18" xfId="0" applyNumberFormat="1" applyBorder="1" applyAlignment="1">
      <alignment horizontal="center"/>
    </xf>
    <xf numFmtId="168" fontId="0" fillId="0" borderId="0" xfId="0" applyNumberFormat="1" applyAlignment="1">
      <alignment horizontal="center"/>
    </xf>
    <xf numFmtId="0" fontId="0" fillId="0" borderId="16" xfId="0" applyBorder="1" applyAlignment="1">
      <alignment horizontal="center"/>
    </xf>
    <xf numFmtId="2" fontId="0" fillId="0" borderId="16" xfId="0" applyNumberFormat="1" applyBorder="1" applyAlignment="1">
      <alignment horizontal="center"/>
    </xf>
    <xf numFmtId="2" fontId="0" fillId="0" borderId="18" xfId="0" applyNumberFormat="1" applyBorder="1" applyAlignment="1">
      <alignment horizontal="center" vertical="center"/>
    </xf>
    <xf numFmtId="167" fontId="0" fillId="0" borderId="18" xfId="0" applyNumberFormat="1" applyBorder="1" applyAlignment="1">
      <alignment horizontal="center"/>
    </xf>
    <xf numFmtId="167" fontId="0" fillId="0" borderId="16" xfId="0" applyNumberFormat="1" applyBorder="1" applyAlignment="1">
      <alignment horizontal="center"/>
    </xf>
    <xf numFmtId="0" fontId="0" fillId="0" borderId="13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left"/>
      <protection locked="0"/>
    </xf>
    <xf numFmtId="0" fontId="0" fillId="0" borderId="20" xfId="0" applyBorder="1" applyAlignment="1">
      <alignment horizontal="center"/>
    </xf>
    <xf numFmtId="14" fontId="1" fillId="0" borderId="13" xfId="0" applyNumberFormat="1" applyFont="1" applyBorder="1"/>
    <xf numFmtId="0" fontId="1" fillId="0" borderId="13" xfId="0" applyFont="1" applyBorder="1" applyAlignment="1">
      <alignment wrapText="1"/>
    </xf>
    <xf numFmtId="0" fontId="0" fillId="0" borderId="23" xfId="0" applyBorder="1" applyAlignment="1">
      <alignment horizontal="center"/>
    </xf>
    <xf numFmtId="167" fontId="8" fillId="3" borderId="15" xfId="0" applyNumberFormat="1" applyFont="1" applyFill="1" applyBorder="1" applyAlignment="1">
      <alignment horizontal="center" vertical="center" wrapText="1"/>
    </xf>
    <xf numFmtId="14" fontId="0" fillId="0" borderId="20" xfId="0" applyNumberFormat="1" applyBorder="1" applyAlignment="1">
      <alignment horizontal="center"/>
    </xf>
    <xf numFmtId="0" fontId="0" fillId="0" borderId="20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1" fillId="0" borderId="20" xfId="0" applyFont="1" applyBorder="1" applyAlignment="1">
      <alignment horizontal="center"/>
    </xf>
    <xf numFmtId="0" fontId="16" fillId="0" borderId="13" xfId="0" applyFont="1" applyBorder="1"/>
    <xf numFmtId="0" fontId="7" fillId="0" borderId="10" xfId="0" applyFont="1" applyBorder="1" applyAlignment="1">
      <alignment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top" wrapText="1"/>
    </xf>
    <xf numFmtId="14" fontId="1" fillId="0" borderId="16" xfId="0" applyNumberFormat="1" applyFont="1" applyBorder="1"/>
    <xf numFmtId="0" fontId="1" fillId="0" borderId="16" xfId="0" applyFont="1" applyBorder="1"/>
    <xf numFmtId="1" fontId="0" fillId="0" borderId="16" xfId="0" applyNumberFormat="1" applyBorder="1" applyAlignment="1">
      <alignment horizontal="center"/>
    </xf>
    <xf numFmtId="2" fontId="0" fillId="0" borderId="19" xfId="0" applyNumberFormat="1" applyBorder="1" applyAlignment="1">
      <alignment horizontal="center"/>
    </xf>
    <xf numFmtId="168" fontId="0" fillId="0" borderId="13" xfId="0" applyNumberFormat="1" applyBorder="1" applyAlignment="1">
      <alignment vertical="center"/>
    </xf>
    <xf numFmtId="0" fontId="0" fillId="0" borderId="13" xfId="0" applyBorder="1" applyAlignment="1">
      <alignment vertical="center"/>
    </xf>
    <xf numFmtId="0" fontId="21" fillId="0" borderId="13" xfId="0" applyFont="1" applyBorder="1" applyProtection="1">
      <protection locked="0"/>
    </xf>
    <xf numFmtId="168" fontId="0" fillId="0" borderId="18" xfId="0" applyNumberFormat="1" applyBorder="1" applyAlignment="1">
      <alignment horizontal="left"/>
    </xf>
    <xf numFmtId="0" fontId="0" fillId="0" borderId="19" xfId="0" applyBorder="1"/>
    <xf numFmtId="0" fontId="0" fillId="0" borderId="28" xfId="0" applyBorder="1"/>
    <xf numFmtId="0" fontId="0" fillId="0" borderId="18" xfId="0" applyBorder="1" applyAlignment="1">
      <alignment horizontal="left" vertical="center"/>
    </xf>
    <xf numFmtId="0" fontId="18" fillId="3" borderId="13" xfId="0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22" xfId="0" applyBorder="1" applyAlignment="1">
      <alignment horizontal="center"/>
    </xf>
    <xf numFmtId="0" fontId="18" fillId="3" borderId="20" xfId="0" applyFont="1" applyFill="1" applyBorder="1" applyAlignment="1">
      <alignment horizontal="center" vertical="center" wrapText="1"/>
    </xf>
    <xf numFmtId="0" fontId="18" fillId="3" borderId="19" xfId="0" applyFont="1" applyFill="1" applyBorder="1" applyAlignment="1">
      <alignment horizontal="center" vertical="center" wrapText="1"/>
    </xf>
    <xf numFmtId="0" fontId="19" fillId="3" borderId="13" xfId="0" applyFont="1" applyFill="1" applyBorder="1" applyAlignment="1">
      <alignment horizontal="center" vertical="center" wrapText="1"/>
    </xf>
    <xf numFmtId="0" fontId="22" fillId="3" borderId="13" xfId="0" applyFont="1" applyFill="1" applyBorder="1" applyAlignment="1">
      <alignment horizontal="center" vertical="center" wrapText="1"/>
    </xf>
    <xf numFmtId="0" fontId="1" fillId="0" borderId="21" xfId="0" applyFont="1" applyBorder="1" applyAlignment="1">
      <alignment horizontal="center"/>
    </xf>
    <xf numFmtId="0" fontId="0" fillId="0" borderId="30" xfId="0" applyBorder="1" applyAlignment="1">
      <alignment horizontal="center"/>
    </xf>
    <xf numFmtId="2" fontId="23" fillId="0" borderId="16" xfId="0" applyNumberFormat="1" applyFont="1" applyBorder="1" applyAlignment="1">
      <alignment horizontal="center"/>
    </xf>
    <xf numFmtId="2" fontId="22" fillId="0" borderId="31" xfId="0" applyNumberFormat="1" applyFont="1" applyBorder="1" applyAlignment="1">
      <alignment horizontal="center"/>
    </xf>
    <xf numFmtId="2" fontId="0" fillId="0" borderId="31" xfId="0" applyNumberFormat="1" applyBorder="1" applyAlignment="1">
      <alignment horizontal="center"/>
    </xf>
    <xf numFmtId="0" fontId="0" fillId="0" borderId="31" xfId="0" applyBorder="1"/>
    <xf numFmtId="2" fontId="23" fillId="0" borderId="13" xfId="0" applyNumberFormat="1" applyFont="1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20" xfId="0" applyBorder="1" applyAlignment="1">
      <alignment horizontal="center" vertical="top"/>
    </xf>
    <xf numFmtId="0" fontId="0" fillId="0" borderId="29" xfId="0" applyBorder="1" applyAlignment="1">
      <alignment horizontal="center"/>
    </xf>
    <xf numFmtId="2" fontId="23" fillId="0" borderId="18" xfId="0" applyNumberFormat="1" applyFont="1" applyBorder="1" applyAlignment="1">
      <alignment horizontal="center"/>
    </xf>
    <xf numFmtId="2" fontId="22" fillId="0" borderId="32" xfId="0" applyNumberFormat="1" applyFont="1" applyBorder="1" applyAlignment="1">
      <alignment horizontal="center"/>
    </xf>
    <xf numFmtId="2" fontId="0" fillId="0" borderId="32" xfId="0" applyNumberFormat="1" applyBorder="1" applyAlignment="1">
      <alignment horizontal="center"/>
    </xf>
    <xf numFmtId="0" fontId="0" fillId="0" borderId="20" xfId="0" applyBorder="1" applyAlignment="1" applyProtection="1">
      <alignment horizontal="center"/>
      <protection locked="0"/>
    </xf>
    <xf numFmtId="0" fontId="0" fillId="0" borderId="19" xfId="0" applyBorder="1" applyAlignment="1" applyProtection="1">
      <alignment horizontal="center"/>
      <protection locked="0"/>
    </xf>
    <xf numFmtId="0" fontId="22" fillId="0" borderId="13" xfId="0" applyFont="1" applyBorder="1" applyAlignment="1">
      <alignment horizontal="center"/>
    </xf>
    <xf numFmtId="0" fontId="23" fillId="0" borderId="13" xfId="0" applyFont="1" applyBorder="1" applyAlignment="1">
      <alignment horizontal="center"/>
    </xf>
    <xf numFmtId="0" fontId="22" fillId="0" borderId="31" xfId="0" applyFont="1" applyBorder="1" applyAlignment="1">
      <alignment horizontal="center"/>
    </xf>
    <xf numFmtId="0" fontId="22" fillId="0" borderId="31" xfId="0" applyFont="1" applyBorder="1"/>
    <xf numFmtId="0" fontId="0" fillId="0" borderId="28" xfId="0" applyBorder="1" applyAlignment="1">
      <alignment horizontal="center"/>
    </xf>
    <xf numFmtId="2" fontId="23" fillId="0" borderId="15" xfId="0" applyNumberFormat="1" applyFont="1" applyBorder="1" applyAlignment="1">
      <alignment horizontal="center"/>
    </xf>
    <xf numFmtId="0" fontId="0" fillId="0" borderId="18" xfId="0" applyBorder="1" applyAlignment="1" applyProtection="1">
      <alignment horizontal="center"/>
      <protection locked="0"/>
    </xf>
    <xf numFmtId="2" fontId="22" fillId="0" borderId="13" xfId="0" applyNumberFormat="1" applyFont="1" applyBorder="1" applyAlignment="1">
      <alignment vertical="center"/>
    </xf>
    <xf numFmtId="0" fontId="0" fillId="0" borderId="33" xfId="0" applyBorder="1"/>
    <xf numFmtId="2" fontId="22" fillId="0" borderId="31" xfId="0" applyNumberFormat="1" applyFont="1" applyBorder="1" applyAlignment="1">
      <alignment horizontal="center" vertical="center"/>
    </xf>
    <xf numFmtId="2" fontId="0" fillId="0" borderId="31" xfId="0" applyNumberFormat="1" applyBorder="1" applyAlignment="1">
      <alignment horizontal="center" vertical="center"/>
    </xf>
    <xf numFmtId="167" fontId="0" fillId="0" borderId="13" xfId="0" applyNumberFormat="1" applyBorder="1"/>
    <xf numFmtId="2" fontId="22" fillId="0" borderId="13" xfId="0" applyNumberFormat="1" applyFont="1" applyBorder="1" applyAlignment="1">
      <alignment horizontal="center" vertical="center"/>
    </xf>
    <xf numFmtId="0" fontId="20" fillId="5" borderId="15" xfId="0" applyFont="1" applyFill="1" applyBorder="1" applyAlignment="1">
      <alignment horizontal="center" wrapText="1"/>
    </xf>
    <xf numFmtId="0" fontId="20" fillId="5" borderId="18" xfId="0" applyFont="1" applyFill="1" applyBorder="1" applyAlignment="1">
      <alignment horizontal="center" wrapText="1"/>
    </xf>
    <xf numFmtId="167" fontId="0" fillId="0" borderId="0" xfId="0" applyNumberFormat="1"/>
    <xf numFmtId="0" fontId="0" fillId="0" borderId="0" xfId="0"/>
    <xf numFmtId="0" fontId="0" fillId="0" borderId="0" xfId="0" applyBorder="1"/>
    <xf numFmtId="168" fontId="0" fillId="0" borderId="13" xfId="0" applyNumberFormat="1" applyBorder="1" applyAlignment="1">
      <alignment horizontal="center" vertical="center" wrapText="1"/>
    </xf>
    <xf numFmtId="0" fontId="0" fillId="0" borderId="13" xfId="0" applyBorder="1"/>
    <xf numFmtId="0" fontId="0" fillId="0" borderId="13" xfId="0" applyBorder="1" applyAlignment="1">
      <alignment horizontal="center"/>
    </xf>
    <xf numFmtId="2" fontId="0" fillId="0" borderId="13" xfId="0" applyNumberFormat="1" applyBorder="1" applyAlignment="1">
      <alignment horizontal="center"/>
    </xf>
    <xf numFmtId="2" fontId="0" fillId="0" borderId="15" xfId="0" applyNumberFormat="1" applyBorder="1" applyAlignment="1">
      <alignment horizontal="center"/>
    </xf>
    <xf numFmtId="0" fontId="0" fillId="0" borderId="13" xfId="0" applyBorder="1" applyAlignment="1" applyProtection="1">
      <alignment horizontal="center" vertical="center" wrapText="1"/>
    </xf>
    <xf numFmtId="168" fontId="0" fillId="0" borderId="13" xfId="0" applyNumberFormat="1" applyBorder="1" applyAlignment="1" applyProtection="1">
      <alignment horizontal="center" vertical="center" wrapText="1"/>
    </xf>
    <xf numFmtId="0" fontId="16" fillId="0" borderId="0" xfId="0" applyFont="1"/>
    <xf numFmtId="0" fontId="16" fillId="0" borderId="39" xfId="0" applyFont="1" applyBorder="1" applyAlignment="1">
      <alignment horizontal="center"/>
    </xf>
    <xf numFmtId="0" fontId="16" fillId="0" borderId="40" xfId="0" applyFont="1" applyBorder="1" applyAlignment="1">
      <alignment horizontal="center"/>
    </xf>
    <xf numFmtId="0" fontId="16" fillId="0" borderId="41" xfId="0" applyFont="1" applyBorder="1" applyAlignment="1">
      <alignment horizontal="center"/>
    </xf>
    <xf numFmtId="0" fontId="0" fillId="0" borderId="42" xfId="0" applyBorder="1"/>
    <xf numFmtId="10" fontId="0" fillId="0" borderId="43" xfId="1" applyNumberFormat="1" applyFont="1" applyBorder="1"/>
    <xf numFmtId="0" fontId="0" fillId="0" borderId="36" xfId="0" applyBorder="1"/>
    <xf numFmtId="168" fontId="0" fillId="0" borderId="37" xfId="0" applyNumberFormat="1" applyBorder="1"/>
    <xf numFmtId="0" fontId="0" fillId="0" borderId="37" xfId="0" applyBorder="1"/>
    <xf numFmtId="10" fontId="0" fillId="0" borderId="38" xfId="1" applyNumberFormat="1" applyFont="1" applyBorder="1"/>
    <xf numFmtId="0" fontId="16" fillId="0" borderId="39" xfId="0" applyFont="1" applyBorder="1"/>
    <xf numFmtId="10" fontId="0" fillId="0" borderId="41" xfId="0" applyNumberFormat="1" applyBorder="1"/>
    <xf numFmtId="0" fontId="16" fillId="0" borderId="42" xfId="0" applyFont="1" applyBorder="1"/>
    <xf numFmtId="0" fontId="0" fillId="0" borderId="43" xfId="0" applyBorder="1"/>
    <xf numFmtId="169" fontId="0" fillId="0" borderId="43" xfId="1" applyNumberFormat="1" applyFont="1" applyBorder="1"/>
    <xf numFmtId="10" fontId="0" fillId="0" borderId="43" xfId="0" applyNumberFormat="1" applyBorder="1"/>
    <xf numFmtId="0" fontId="16" fillId="0" borderId="36" xfId="0" applyFont="1" applyBorder="1"/>
    <xf numFmtId="10" fontId="0" fillId="0" borderId="38" xfId="0" applyNumberFormat="1" applyBorder="1"/>
    <xf numFmtId="0" fontId="27" fillId="0" borderId="0" xfId="0" applyFont="1" applyAlignment="1" applyProtection="1">
      <alignment vertical="center" wrapText="1"/>
      <protection locked="0"/>
    </xf>
    <xf numFmtId="0" fontId="29" fillId="0" borderId="26" xfId="0" applyFont="1" applyBorder="1" applyAlignment="1">
      <alignment vertical="center" wrapText="1"/>
    </xf>
    <xf numFmtId="169" fontId="0" fillId="0" borderId="0" xfId="1" applyNumberFormat="1" applyFont="1"/>
    <xf numFmtId="0" fontId="16" fillId="0" borderId="30" xfId="0" applyFont="1" applyBorder="1" applyAlignment="1">
      <alignment horizontal="center"/>
    </xf>
    <xf numFmtId="0" fontId="16" fillId="0" borderId="16" xfId="0" applyFont="1" applyBorder="1" applyAlignment="1">
      <alignment horizontal="center"/>
    </xf>
    <xf numFmtId="0" fontId="16" fillId="0" borderId="21" xfId="0" applyFont="1" applyBorder="1" applyAlignment="1">
      <alignment horizontal="center"/>
    </xf>
    <xf numFmtId="10" fontId="0" fillId="0" borderId="13" xfId="1" applyNumberFormat="1" applyFont="1" applyBorder="1"/>
    <xf numFmtId="169" fontId="0" fillId="0" borderId="20" xfId="1" applyNumberFormat="1" applyFont="1" applyBorder="1"/>
    <xf numFmtId="0" fontId="0" fillId="0" borderId="30" xfId="0" applyBorder="1"/>
    <xf numFmtId="10" fontId="0" fillId="0" borderId="16" xfId="1" applyNumberFormat="1" applyFont="1" applyBorder="1"/>
    <xf numFmtId="169" fontId="0" fillId="0" borderId="21" xfId="1" applyNumberFormat="1" applyFont="1" applyBorder="1"/>
    <xf numFmtId="0" fontId="0" fillId="0" borderId="29" xfId="0" applyBorder="1"/>
    <xf numFmtId="10" fontId="0" fillId="0" borderId="18" xfId="1" applyNumberFormat="1" applyFont="1" applyBorder="1"/>
    <xf numFmtId="169" fontId="0" fillId="0" borderId="23" xfId="1" applyNumberFormat="1" applyFont="1" applyBorder="1"/>
    <xf numFmtId="0" fontId="16" fillId="0" borderId="0" xfId="0" applyFont="1" applyBorder="1" applyAlignment="1">
      <alignment horizontal="center"/>
    </xf>
    <xf numFmtId="10" fontId="0" fillId="0" borderId="0" xfId="1" applyNumberFormat="1" applyFont="1" applyBorder="1"/>
    <xf numFmtId="10" fontId="0" fillId="0" borderId="0" xfId="0" applyNumberFormat="1" applyBorder="1"/>
    <xf numFmtId="169" fontId="0" fillId="0" borderId="0" xfId="1" applyNumberFormat="1" applyFont="1" applyBorder="1"/>
    <xf numFmtId="0" fontId="34" fillId="0" borderId="20" xfId="0" applyFont="1" applyBorder="1" applyAlignment="1">
      <alignment vertical="center" wrapText="1"/>
    </xf>
    <xf numFmtId="0" fontId="35" fillId="0" borderId="19" xfId="0" applyFont="1" applyBorder="1" applyAlignment="1">
      <alignment horizontal="left" vertical="center" wrapText="1"/>
    </xf>
    <xf numFmtId="0" fontId="27" fillId="0" borderId="28" xfId="0" applyFont="1" applyBorder="1" applyAlignment="1" applyProtection="1">
      <alignment vertical="center" wrapText="1"/>
      <protection locked="0"/>
    </xf>
    <xf numFmtId="0" fontId="34" fillId="0" borderId="20" xfId="0" applyFont="1" applyBorder="1" applyAlignment="1">
      <alignment wrapText="1"/>
    </xf>
    <xf numFmtId="168" fontId="35" fillId="0" borderId="19" xfId="0" applyNumberFormat="1" applyFont="1" applyBorder="1" applyAlignment="1">
      <alignment horizontal="left" wrapText="1"/>
    </xf>
    <xf numFmtId="0" fontId="29" fillId="0" borderId="30" xfId="0" applyFont="1" applyBorder="1" applyAlignment="1">
      <alignment vertical="center" wrapText="1"/>
    </xf>
    <xf numFmtId="0" fontId="26" fillId="0" borderId="13" xfId="0" applyFont="1" applyBorder="1" applyAlignment="1">
      <alignment horizontal="center" vertical="center" wrapText="1"/>
    </xf>
    <xf numFmtId="0" fontId="26" fillId="0" borderId="20" xfId="0" applyFont="1" applyBorder="1" applyAlignment="1">
      <alignment horizontal="center" vertical="center" wrapText="1"/>
    </xf>
    <xf numFmtId="2" fontId="22" fillId="0" borderId="13" xfId="0" applyNumberFormat="1" applyFont="1" applyBorder="1" applyAlignment="1">
      <alignment horizontal="center" vertical="center"/>
    </xf>
    <xf numFmtId="2" fontId="0" fillId="0" borderId="13" xfId="0" applyNumberFormat="1" applyBorder="1" applyAlignment="1">
      <alignment horizontal="center" vertical="center"/>
    </xf>
    <xf numFmtId="0" fontId="0" fillId="0" borderId="13" xfId="0" applyBorder="1" applyAlignment="1">
      <alignment horizontal="center"/>
    </xf>
    <xf numFmtId="2" fontId="0" fillId="0" borderId="13" xfId="0" applyNumberFormat="1" applyBorder="1" applyAlignment="1">
      <alignment horizontal="center" vertical="center" wrapText="1"/>
    </xf>
    <xf numFmtId="2" fontId="0" fillId="0" borderId="13" xfId="0" applyNumberFormat="1" applyBorder="1" applyAlignment="1">
      <alignment horizontal="center"/>
    </xf>
    <xf numFmtId="2" fontId="22" fillId="0" borderId="18" xfId="0" applyNumberFormat="1" applyFont="1" applyBorder="1" applyAlignment="1">
      <alignment horizontal="center"/>
    </xf>
    <xf numFmtId="0" fontId="22" fillId="0" borderId="16" xfId="0" applyFont="1" applyBorder="1" applyAlignment="1">
      <alignment horizontal="center"/>
    </xf>
    <xf numFmtId="0" fontId="13" fillId="0" borderId="13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/>
    </xf>
    <xf numFmtId="0" fontId="5" fillId="0" borderId="25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3" xfId="0" applyFont="1" applyBorder="1" applyAlignment="1">
      <alignment horizontal="center" vertical="center" wrapText="1"/>
    </xf>
    <xf numFmtId="0" fontId="18" fillId="3" borderId="13" xfId="0" applyFont="1" applyFill="1" applyBorder="1" applyAlignment="1">
      <alignment horizontal="center" vertical="center" wrapText="1"/>
    </xf>
    <xf numFmtId="2" fontId="22" fillId="0" borderId="18" xfId="0" applyNumberFormat="1" applyFont="1" applyBorder="1" applyAlignment="1">
      <alignment horizontal="center" vertical="center"/>
    </xf>
    <xf numFmtId="2" fontId="22" fillId="0" borderId="15" xfId="0" applyNumberFormat="1" applyFont="1" applyBorder="1" applyAlignment="1">
      <alignment horizontal="center" vertical="center"/>
    </xf>
    <xf numFmtId="2" fontId="22" fillId="0" borderId="16" xfId="0" applyNumberFormat="1" applyFont="1" applyBorder="1" applyAlignment="1">
      <alignment horizontal="center" vertical="center"/>
    </xf>
    <xf numFmtId="2" fontId="0" fillId="0" borderId="18" xfId="0" applyNumberFormat="1" applyBorder="1" applyAlignment="1">
      <alignment horizontal="center" vertical="center"/>
    </xf>
    <xf numFmtId="2" fontId="0" fillId="0" borderId="15" xfId="0" applyNumberFormat="1" applyBorder="1" applyAlignment="1">
      <alignment horizontal="center" vertical="center"/>
    </xf>
    <xf numFmtId="2" fontId="0" fillId="0" borderId="16" xfId="0" applyNumberFormat="1" applyBorder="1" applyAlignment="1">
      <alignment horizontal="center" vertical="center"/>
    </xf>
    <xf numFmtId="0" fontId="0" fillId="0" borderId="18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3" xfId="0" applyBorder="1" applyAlignment="1">
      <alignment horizontal="center" vertical="center"/>
    </xf>
    <xf numFmtId="0" fontId="22" fillId="0" borderId="18" xfId="0" applyFont="1" applyBorder="1" applyAlignment="1">
      <alignment horizontal="center"/>
    </xf>
    <xf numFmtId="2" fontId="0" fillId="0" borderId="18" xfId="0" applyNumberFormat="1" applyBorder="1" applyAlignment="1">
      <alignment horizontal="center"/>
    </xf>
    <xf numFmtId="2" fontId="0" fillId="0" borderId="15" xfId="0" applyNumberFormat="1" applyBorder="1" applyAlignment="1">
      <alignment horizontal="center"/>
    </xf>
    <xf numFmtId="2" fontId="0" fillId="0" borderId="16" xfId="0" applyNumberFormat="1" applyBorder="1" applyAlignment="1">
      <alignment horizontal="center"/>
    </xf>
    <xf numFmtId="167" fontId="0" fillId="0" borderId="13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5" fillId="0" borderId="4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5" fillId="0" borderId="6" xfId="0" applyFont="1" applyBorder="1" applyAlignment="1">
      <alignment horizontal="left"/>
    </xf>
    <xf numFmtId="0" fontId="2" fillId="0" borderId="9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top" wrapText="1"/>
    </xf>
    <xf numFmtId="0" fontId="10" fillId="0" borderId="4" xfId="0" applyFont="1" applyBorder="1" applyAlignment="1">
      <alignment horizontal="center" vertical="top" wrapText="1"/>
    </xf>
    <xf numFmtId="0" fontId="10" fillId="0" borderId="6" xfId="0" applyFont="1" applyBorder="1" applyAlignment="1">
      <alignment horizontal="center" vertical="top" wrapText="1"/>
    </xf>
    <xf numFmtId="0" fontId="8" fillId="0" borderId="14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top" wrapText="1"/>
    </xf>
    <xf numFmtId="0" fontId="8" fillId="2" borderId="6" xfId="0" applyFont="1" applyFill="1" applyBorder="1" applyAlignment="1">
      <alignment horizontal="center" vertical="top" wrapText="1"/>
    </xf>
    <xf numFmtId="0" fontId="8" fillId="3" borderId="17" xfId="0" applyFont="1" applyFill="1" applyBorder="1" applyAlignment="1">
      <alignment horizontal="center" vertical="center" wrapText="1"/>
    </xf>
    <xf numFmtId="0" fontId="8" fillId="3" borderId="16" xfId="0" applyFont="1" applyFill="1" applyBorder="1" applyAlignment="1">
      <alignment horizontal="center" vertical="center" wrapText="1"/>
    </xf>
    <xf numFmtId="0" fontId="8" fillId="3" borderId="15" xfId="0" applyFont="1" applyFill="1" applyBorder="1" applyAlignment="1">
      <alignment horizontal="center" vertical="center" wrapText="1"/>
    </xf>
    <xf numFmtId="0" fontId="11" fillId="3" borderId="15" xfId="0" applyFont="1" applyFill="1" applyBorder="1" applyAlignment="1">
      <alignment horizontal="center" vertical="center" wrapText="1"/>
    </xf>
    <xf numFmtId="0" fontId="7" fillId="3" borderId="15" xfId="0" applyFont="1" applyFill="1" applyBorder="1" applyAlignment="1">
      <alignment horizontal="center" vertical="center" wrapText="1"/>
    </xf>
    <xf numFmtId="167" fontId="8" fillId="3" borderId="15" xfId="0" applyNumberFormat="1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167" fontId="0" fillId="0" borderId="18" xfId="0" applyNumberFormat="1" applyBorder="1" applyAlignment="1">
      <alignment horizontal="center" vertical="center"/>
    </xf>
    <xf numFmtId="167" fontId="0" fillId="0" borderId="16" xfId="0" applyNumberFormat="1" applyBorder="1" applyAlignment="1">
      <alignment horizontal="center" vertical="center"/>
    </xf>
    <xf numFmtId="1" fontId="0" fillId="0" borderId="13" xfId="0" applyNumberFormat="1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19" xfId="0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168" fontId="11" fillId="3" borderId="15" xfId="0" applyNumberFormat="1" applyFont="1" applyFill="1" applyBorder="1" applyAlignment="1">
      <alignment horizontal="center" vertical="center"/>
    </xf>
    <xf numFmtId="168" fontId="11" fillId="3" borderId="16" xfId="0" applyNumberFormat="1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horizontal="center" vertical="center"/>
    </xf>
    <xf numFmtId="0" fontId="11" fillId="3" borderId="16" xfId="0" applyFont="1" applyFill="1" applyBorder="1" applyAlignment="1">
      <alignment horizontal="center" vertical="center"/>
    </xf>
    <xf numFmtId="0" fontId="13" fillId="0" borderId="9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9" xfId="0" applyFont="1" applyBorder="1" applyAlignment="1">
      <alignment vertical="center" wrapText="1"/>
    </xf>
    <xf numFmtId="0" fontId="7" fillId="0" borderId="10" xfId="0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8" fillId="3" borderId="13" xfId="0" applyFont="1" applyFill="1" applyBorder="1" applyAlignment="1">
      <alignment horizontal="center" vertical="center"/>
    </xf>
    <xf numFmtId="0" fontId="8" fillId="3" borderId="22" xfId="0" applyFont="1" applyFill="1" applyBorder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0" fillId="0" borderId="13" xfId="0" applyBorder="1" applyAlignment="1">
      <alignment horizontal="left" wrapText="1"/>
    </xf>
    <xf numFmtId="0" fontId="0" fillId="0" borderId="26" xfId="0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6" fillId="0" borderId="23" xfId="0" applyFont="1" applyBorder="1" applyAlignment="1">
      <alignment horizontal="center" vertical="center"/>
    </xf>
    <xf numFmtId="0" fontId="16" fillId="0" borderId="22" xfId="0" applyFont="1" applyBorder="1" applyAlignment="1">
      <alignment horizontal="center" vertical="center"/>
    </xf>
    <xf numFmtId="0" fontId="16" fillId="0" borderId="27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13" xfId="0" applyFont="1" applyBorder="1" applyAlignment="1">
      <alignment horizontal="center"/>
    </xf>
    <xf numFmtId="0" fontId="16" fillId="0" borderId="20" xfId="0" applyFont="1" applyBorder="1" applyAlignment="1">
      <alignment horizontal="center" vertical="center"/>
    </xf>
    <xf numFmtId="0" fontId="16" fillId="0" borderId="25" xfId="0" applyFont="1" applyBorder="1" applyAlignment="1">
      <alignment horizontal="center" vertical="center"/>
    </xf>
    <xf numFmtId="0" fontId="16" fillId="0" borderId="20" xfId="0" applyFont="1" applyBorder="1" applyAlignment="1">
      <alignment horizontal="center"/>
    </xf>
    <xf numFmtId="0" fontId="16" fillId="0" borderId="25" xfId="0" applyFont="1" applyBorder="1" applyAlignment="1">
      <alignment horizontal="center"/>
    </xf>
    <xf numFmtId="0" fontId="16" fillId="0" borderId="19" xfId="0" applyFont="1" applyBorder="1" applyAlignment="1">
      <alignment horizontal="center"/>
    </xf>
    <xf numFmtId="14" fontId="0" fillId="0" borderId="20" xfId="0" applyNumberFormat="1" applyBorder="1" applyAlignment="1">
      <alignment horizontal="center" vertical="center"/>
    </xf>
    <xf numFmtId="14" fontId="0" fillId="0" borderId="19" xfId="0" applyNumberFormat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vertical="top" wrapText="1"/>
    </xf>
    <xf numFmtId="0" fontId="10" fillId="0" borderId="6" xfId="0" applyFont="1" applyBorder="1" applyAlignment="1">
      <alignment vertical="top" wrapText="1"/>
    </xf>
    <xf numFmtId="0" fontId="8" fillId="3" borderId="15" xfId="0" applyFont="1" applyFill="1" applyBorder="1" applyAlignment="1">
      <alignment horizontal="center" vertical="center"/>
    </xf>
    <xf numFmtId="0" fontId="11" fillId="3" borderId="15" xfId="0" applyFont="1" applyFill="1" applyBorder="1" applyAlignment="1">
      <alignment horizontal="center" vertical="center"/>
    </xf>
    <xf numFmtId="0" fontId="10" fillId="3" borderId="15" xfId="0" applyFont="1" applyFill="1" applyBorder="1" applyAlignment="1">
      <alignment horizontal="center" vertical="center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top" wrapText="1"/>
    </xf>
    <xf numFmtId="0" fontId="8" fillId="2" borderId="5" xfId="0" applyFont="1" applyFill="1" applyBorder="1" applyAlignment="1">
      <alignment horizontal="center" vertical="top" wrapText="1"/>
    </xf>
    <xf numFmtId="0" fontId="11" fillId="0" borderId="13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/>
    </xf>
    <xf numFmtId="0" fontId="7" fillId="0" borderId="13" xfId="0" applyFont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center" vertical="center"/>
    </xf>
    <xf numFmtId="0" fontId="8" fillId="3" borderId="27" xfId="0" applyFont="1" applyFill="1" applyBorder="1" applyAlignment="1">
      <alignment horizontal="center" vertical="center"/>
    </xf>
    <xf numFmtId="0" fontId="8" fillId="3" borderId="27" xfId="0" applyFont="1" applyFill="1" applyBorder="1" applyAlignment="1">
      <alignment horizontal="center" vertical="center" wrapText="1"/>
    </xf>
    <xf numFmtId="0" fontId="8" fillId="3" borderId="0" xfId="0" applyFont="1" applyFill="1" applyAlignment="1">
      <alignment horizontal="center" vertical="center" wrapText="1"/>
    </xf>
    <xf numFmtId="0" fontId="28" fillId="0" borderId="22" xfId="0" applyFont="1" applyBorder="1" applyAlignment="1" applyProtection="1">
      <alignment horizontal="center" vertical="center" wrapText="1"/>
      <protection hidden="1"/>
    </xf>
    <xf numFmtId="0" fontId="28" fillId="0" borderId="0" xfId="0" applyFont="1" applyAlignment="1" applyProtection="1">
      <alignment horizontal="center" vertical="center" wrapText="1"/>
      <protection hidden="1"/>
    </xf>
    <xf numFmtId="0" fontId="28" fillId="0" borderId="28" xfId="0" applyFont="1" applyBorder="1" applyAlignment="1" applyProtection="1">
      <alignment horizontal="center" vertical="center" wrapText="1"/>
      <protection hidden="1"/>
    </xf>
    <xf numFmtId="0" fontId="36" fillId="0" borderId="21" xfId="0" applyFont="1" applyBorder="1" applyAlignment="1">
      <alignment horizontal="center" vertical="center" wrapText="1"/>
    </xf>
    <xf numFmtId="0" fontId="36" fillId="0" borderId="26" xfId="0" applyFont="1" applyBorder="1" applyAlignment="1">
      <alignment horizontal="center" vertical="center" wrapText="1"/>
    </xf>
    <xf numFmtId="0" fontId="36" fillId="0" borderId="30" xfId="0" applyFont="1" applyBorder="1" applyAlignment="1">
      <alignment horizontal="center" vertical="center" wrapText="1"/>
    </xf>
    <xf numFmtId="0" fontId="22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0" fillId="0" borderId="0" xfId="1" applyNumberFormat="1" applyFont="1"/>
    <xf numFmtId="0" fontId="26" fillId="0" borderId="13" xfId="0" applyFont="1" applyBorder="1" applyAlignment="1" applyProtection="1">
      <alignment horizontal="center" vertical="center" wrapText="1"/>
      <protection hidden="1"/>
    </xf>
    <xf numFmtId="0" fontId="26" fillId="0" borderId="20" xfId="0" applyFont="1" applyBorder="1" applyAlignment="1" applyProtection="1">
      <alignment horizontal="center" vertical="center" wrapText="1"/>
      <protection hidden="1"/>
    </xf>
    <xf numFmtId="0" fontId="0" fillId="0" borderId="0" xfId="0" applyProtection="1">
      <protection hidden="1"/>
    </xf>
    <xf numFmtId="0" fontId="30" fillId="0" borderId="13" xfId="0" applyFont="1" applyBorder="1" applyAlignment="1" applyProtection="1">
      <alignment horizontal="center"/>
      <protection hidden="1"/>
    </xf>
    <xf numFmtId="0" fontId="30" fillId="0" borderId="0" xfId="0" applyFont="1" applyProtection="1">
      <protection hidden="1"/>
    </xf>
    <xf numFmtId="0" fontId="31" fillId="0" borderId="13" xfId="0" applyFont="1" applyBorder="1" applyProtection="1">
      <protection hidden="1"/>
    </xf>
    <xf numFmtId="0" fontId="21" fillId="0" borderId="13" xfId="0" applyFont="1" applyBorder="1" applyProtection="1">
      <protection hidden="1"/>
    </xf>
    <xf numFmtId="0" fontId="31" fillId="0" borderId="13" xfId="0" applyFont="1" applyBorder="1" applyAlignment="1" applyProtection="1">
      <alignment horizontal="center"/>
      <protection hidden="1"/>
    </xf>
    <xf numFmtId="49" fontId="31" fillId="0" borderId="13" xfId="0" applyNumberFormat="1" applyFont="1" applyBorder="1" applyAlignment="1" applyProtection="1">
      <alignment horizontal="center"/>
      <protection hidden="1"/>
    </xf>
    <xf numFmtId="0" fontId="31" fillId="0" borderId="13" xfId="0" applyFont="1" applyBorder="1" applyAlignment="1" applyProtection="1">
      <alignment horizontal="center"/>
      <protection hidden="1"/>
    </xf>
    <xf numFmtId="0" fontId="0" fillId="0" borderId="13" xfId="0" applyBorder="1" applyAlignment="1" applyProtection="1">
      <alignment horizontal="center"/>
      <protection hidden="1"/>
    </xf>
    <xf numFmtId="14" fontId="21" fillId="0" borderId="13" xfId="0" applyNumberFormat="1" applyFont="1" applyBorder="1" applyAlignment="1" applyProtection="1">
      <alignment horizontal="center"/>
      <protection hidden="1"/>
    </xf>
    <xf numFmtId="0" fontId="31" fillId="0" borderId="37" xfId="0" applyFont="1" applyBorder="1" applyProtection="1">
      <protection hidden="1"/>
    </xf>
    <xf numFmtId="49" fontId="31" fillId="0" borderId="37" xfId="0" applyNumberFormat="1" applyFont="1" applyBorder="1" applyProtection="1">
      <protection hidden="1"/>
    </xf>
    <xf numFmtId="0" fontId="16" fillId="0" borderId="37" xfId="0" applyFont="1" applyBorder="1" applyProtection="1">
      <protection hidden="1"/>
    </xf>
    <xf numFmtId="49" fontId="21" fillId="0" borderId="37" xfId="0" applyNumberFormat="1" applyFont="1" applyBorder="1" applyProtection="1">
      <protection hidden="1"/>
    </xf>
    <xf numFmtId="0" fontId="16" fillId="0" borderId="37" xfId="0" applyFont="1" applyBorder="1" applyAlignment="1" applyProtection="1">
      <alignment horizontal="center"/>
      <protection hidden="1"/>
    </xf>
    <xf numFmtId="49" fontId="21" fillId="0" borderId="37" xfId="0" applyNumberFormat="1" applyFont="1" applyBorder="1" applyAlignment="1" applyProtection="1">
      <alignment horizontal="center"/>
      <protection hidden="1"/>
    </xf>
    <xf numFmtId="10" fontId="0" fillId="0" borderId="37" xfId="1" applyNumberFormat="1" applyFont="1" applyBorder="1" applyAlignment="1" applyProtection="1">
      <alignment horizontal="center"/>
      <protection hidden="1"/>
    </xf>
    <xf numFmtId="0" fontId="21" fillId="0" borderId="37" xfId="0" applyFont="1" applyBorder="1" applyAlignment="1" applyProtection="1">
      <alignment horizontal="center"/>
      <protection hidden="1"/>
    </xf>
    <xf numFmtId="0" fontId="31" fillId="0" borderId="37" xfId="0" applyFont="1" applyBorder="1" applyAlignment="1" applyProtection="1">
      <alignment horizontal="center"/>
      <protection hidden="1"/>
    </xf>
    <xf numFmtId="0" fontId="31" fillId="0" borderId="37" xfId="0" applyFont="1" applyBorder="1" applyAlignment="1" applyProtection="1">
      <alignment horizontal="center"/>
      <protection hidden="1"/>
    </xf>
    <xf numFmtId="168" fontId="16" fillId="0" borderId="38" xfId="0" applyNumberFormat="1" applyFont="1" applyBorder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hidden="1"/>
    </xf>
    <xf numFmtId="0" fontId="16" fillId="0" borderId="0" xfId="0" applyFont="1" applyProtection="1">
      <protection hidden="1"/>
    </xf>
    <xf numFmtId="49" fontId="0" fillId="0" borderId="0" xfId="0" applyNumberFormat="1" applyProtection="1">
      <protection hidden="1"/>
    </xf>
    <xf numFmtId="0" fontId="16" fillId="0" borderId="39" xfId="0" applyFont="1" applyBorder="1" applyAlignment="1" applyProtection="1">
      <alignment horizontal="center"/>
      <protection hidden="1"/>
    </xf>
    <xf numFmtId="0" fontId="16" fillId="0" borderId="40" xfId="0" applyFont="1" applyBorder="1" applyAlignment="1" applyProtection="1">
      <alignment horizontal="center"/>
      <protection hidden="1"/>
    </xf>
    <xf numFmtId="0" fontId="16" fillId="0" borderId="41" xfId="0" applyFont="1" applyBorder="1" applyAlignment="1" applyProtection="1">
      <alignment horizontal="center"/>
      <protection hidden="1"/>
    </xf>
    <xf numFmtId="0" fontId="0" fillId="0" borderId="42" xfId="0" applyBorder="1" applyAlignment="1" applyProtection="1">
      <alignment horizontal="center"/>
      <protection hidden="1"/>
    </xf>
    <xf numFmtId="14" fontId="0" fillId="0" borderId="43" xfId="0" applyNumberFormat="1" applyBorder="1" applyAlignment="1" applyProtection="1">
      <alignment horizontal="center"/>
      <protection hidden="1"/>
    </xf>
    <xf numFmtId="166" fontId="0" fillId="0" borderId="0" xfId="0" applyNumberFormat="1" applyAlignment="1" applyProtection="1">
      <alignment horizontal="center"/>
      <protection hidden="1"/>
    </xf>
    <xf numFmtId="0" fontId="0" fillId="0" borderId="36" xfId="0" applyBorder="1" applyAlignment="1" applyProtection="1">
      <alignment horizontal="center"/>
      <protection hidden="1"/>
    </xf>
    <xf numFmtId="0" fontId="0" fillId="0" borderId="37" xfId="0" applyBorder="1" applyAlignment="1" applyProtection="1">
      <alignment horizontal="center"/>
      <protection hidden="1"/>
    </xf>
    <xf numFmtId="14" fontId="0" fillId="0" borderId="38" xfId="0" applyNumberFormat="1" applyBorder="1" applyAlignment="1" applyProtection="1">
      <alignment horizontal="center"/>
      <protection hidden="1"/>
    </xf>
    <xf numFmtId="0" fontId="16" fillId="0" borderId="34" xfId="0" applyFont="1" applyBorder="1" applyProtection="1">
      <protection hidden="1"/>
    </xf>
    <xf numFmtId="0" fontId="0" fillId="0" borderId="35" xfId="0" applyBorder="1" applyProtection="1">
      <protection hidden="1"/>
    </xf>
    <xf numFmtId="0" fontId="16" fillId="0" borderId="36" xfId="0" applyFont="1" applyBorder="1" applyProtection="1">
      <protection hidden="1"/>
    </xf>
    <xf numFmtId="0" fontId="0" fillId="0" borderId="38" xfId="0" applyBorder="1" applyProtection="1">
      <protection hidden="1"/>
    </xf>
    <xf numFmtId="0" fontId="18" fillId="7" borderId="19" xfId="0" applyFont="1" applyFill="1" applyBorder="1" applyAlignment="1" applyProtection="1">
      <alignment horizontal="center" vertical="center" wrapText="1"/>
      <protection hidden="1"/>
    </xf>
    <xf numFmtId="0" fontId="18" fillId="7" borderId="13" xfId="0" applyFont="1" applyFill="1" applyBorder="1" applyAlignment="1" applyProtection="1">
      <alignment horizontal="center" vertical="center" wrapText="1"/>
      <protection hidden="1"/>
    </xf>
    <xf numFmtId="0" fontId="19" fillId="7" borderId="13" xfId="0" applyFont="1" applyFill="1" applyBorder="1" applyAlignment="1" applyProtection="1">
      <alignment horizontal="center" vertical="center" wrapText="1"/>
      <protection hidden="1"/>
    </xf>
    <xf numFmtId="0" fontId="33" fillId="7" borderId="13" xfId="0" applyFont="1" applyFill="1" applyBorder="1" applyAlignment="1" applyProtection="1">
      <alignment horizontal="center" vertical="center" wrapText="1"/>
      <protection hidden="1"/>
    </xf>
    <xf numFmtId="0" fontId="33" fillId="7" borderId="15" xfId="0" applyFont="1" applyFill="1" applyBorder="1" applyAlignment="1" applyProtection="1">
      <alignment horizontal="center" vertical="center" wrapText="1"/>
      <protection hidden="1"/>
    </xf>
    <xf numFmtId="0" fontId="33" fillId="7" borderId="22" xfId="0" applyFont="1" applyFill="1" applyBorder="1" applyAlignment="1" applyProtection="1">
      <alignment horizontal="center" vertical="center" wrapText="1"/>
      <protection hidden="1"/>
    </xf>
    <xf numFmtId="0" fontId="33" fillId="7" borderId="20" xfId="0" applyFont="1" applyFill="1" applyBorder="1" applyAlignment="1" applyProtection="1">
      <alignment horizontal="center" vertical="center" wrapText="1"/>
      <protection hidden="1"/>
    </xf>
    <xf numFmtId="0" fontId="0" fillId="0" borderId="0" xfId="0" applyAlignment="1" applyProtection="1">
      <alignment horizontal="center" vertical="center" wrapText="1"/>
      <protection hidden="1"/>
    </xf>
    <xf numFmtId="168" fontId="0" fillId="0" borderId="13" xfId="0" applyNumberFormat="1" applyBorder="1" applyAlignment="1" applyProtection="1">
      <alignment horizontal="center" vertical="center" wrapText="1"/>
      <protection hidden="1"/>
    </xf>
    <xf numFmtId="0" fontId="0" fillId="0" borderId="13" xfId="0" applyBorder="1" applyAlignment="1" applyProtection="1">
      <alignment horizontal="center" vertical="center" wrapText="1"/>
      <protection hidden="1"/>
    </xf>
    <xf numFmtId="0" fontId="16" fillId="0" borderId="13" xfId="0" applyFont="1" applyBorder="1" applyAlignment="1" applyProtection="1">
      <alignment horizontal="center" vertical="center" wrapText="1"/>
      <protection hidden="1"/>
    </xf>
    <xf numFmtId="0" fontId="0" fillId="0" borderId="18" xfId="0" applyBorder="1" applyAlignment="1" applyProtection="1">
      <alignment horizontal="center" vertical="center" wrapText="1"/>
      <protection hidden="1"/>
    </xf>
    <xf numFmtId="0" fontId="19" fillId="0" borderId="0" xfId="0" applyFont="1" applyAlignment="1" applyProtection="1">
      <alignment horizontal="center" vertical="center" wrapText="1"/>
      <protection hidden="1"/>
    </xf>
    <xf numFmtId="168" fontId="0" fillId="0" borderId="19" xfId="0" applyNumberFormat="1" applyBorder="1" applyAlignment="1" applyProtection="1">
      <alignment horizontal="center" vertical="center" wrapText="1"/>
      <protection locked="0"/>
    </xf>
    <xf numFmtId="168" fontId="0" fillId="0" borderId="13" xfId="0" applyNumberFormat="1" applyBorder="1" applyAlignment="1" applyProtection="1">
      <alignment horizontal="center" vertical="center" wrapText="1"/>
      <protection locked="0"/>
    </xf>
    <xf numFmtId="0" fontId="0" fillId="0" borderId="13" xfId="0" applyBorder="1" applyAlignment="1" applyProtection="1">
      <alignment horizontal="center" vertical="center" wrapText="1"/>
      <protection locked="0"/>
    </xf>
    <xf numFmtId="166" fontId="0" fillId="0" borderId="13" xfId="0" applyNumberFormat="1" applyBorder="1" applyAlignment="1" applyProtection="1">
      <alignment horizontal="center" vertical="center" wrapText="1"/>
      <protection locked="0"/>
    </xf>
    <xf numFmtId="170" fontId="0" fillId="0" borderId="13" xfId="0" applyNumberFormat="1" applyBorder="1" applyAlignment="1" applyProtection="1">
      <alignment horizontal="center" vertical="center" wrapText="1"/>
      <protection locked="0"/>
    </xf>
    <xf numFmtId="168" fontId="0" fillId="0" borderId="29" xfId="0" applyNumberFormat="1" applyBorder="1" applyAlignment="1" applyProtection="1">
      <alignment horizontal="center" vertical="center" wrapText="1"/>
      <protection locked="0"/>
    </xf>
    <xf numFmtId="168" fontId="0" fillId="0" borderId="18" xfId="0" applyNumberFormat="1" applyBorder="1" applyAlignment="1" applyProtection="1">
      <alignment horizontal="center" vertical="center" wrapText="1"/>
      <protection locked="0"/>
    </xf>
    <xf numFmtId="0" fontId="0" fillId="0" borderId="18" xfId="0" applyBorder="1" applyAlignment="1" applyProtection="1">
      <alignment horizontal="center" vertical="center" wrapText="1"/>
      <protection locked="0"/>
    </xf>
    <xf numFmtId="166" fontId="0" fillId="0" borderId="18" xfId="0" applyNumberFormat="1" applyBorder="1" applyAlignment="1" applyProtection="1">
      <alignment horizontal="center" vertical="center" wrapText="1"/>
      <protection locked="0"/>
    </xf>
    <xf numFmtId="166" fontId="37" fillId="0" borderId="13" xfId="0" applyNumberFormat="1" applyFont="1" applyBorder="1" applyAlignment="1" applyProtection="1">
      <alignment horizontal="center" vertical="center" wrapText="1"/>
      <protection hidden="1"/>
    </xf>
    <xf numFmtId="169" fontId="37" fillId="0" borderId="13" xfId="1" applyNumberFormat="1" applyFont="1" applyBorder="1" applyAlignment="1" applyProtection="1">
      <alignment horizontal="center" vertical="center" wrapText="1"/>
      <protection hidden="1"/>
    </xf>
    <xf numFmtId="169" fontId="38" fillId="0" borderId="13" xfId="1" applyNumberFormat="1" applyFont="1" applyBorder="1" applyAlignment="1" applyProtection="1">
      <alignment horizontal="center" vertical="center" wrapText="1"/>
      <protection hidden="1"/>
    </xf>
    <xf numFmtId="166" fontId="37" fillId="0" borderId="18" xfId="0" applyNumberFormat="1" applyFont="1" applyBorder="1" applyAlignment="1" applyProtection="1">
      <alignment horizontal="center" vertical="center" wrapText="1"/>
      <protection hidden="1"/>
    </xf>
    <xf numFmtId="169" fontId="37" fillId="0" borderId="18" xfId="1" applyNumberFormat="1" applyFont="1" applyBorder="1" applyAlignment="1" applyProtection="1">
      <alignment horizontal="center" vertical="center" wrapText="1"/>
      <protection hidden="1"/>
    </xf>
    <xf numFmtId="0" fontId="1" fillId="0" borderId="13" xfId="0" applyFont="1" applyBorder="1" applyAlignment="1" applyProtection="1">
      <alignment horizontal="center" vertical="center" wrapText="1"/>
      <protection locked="0"/>
    </xf>
    <xf numFmtId="0" fontId="1" fillId="0" borderId="20" xfId="0" applyFont="1" applyBorder="1" applyAlignment="1" applyProtection="1">
      <alignment horizontal="center" vertical="center" wrapText="1"/>
      <protection locked="0"/>
    </xf>
    <xf numFmtId="0" fontId="0" fillId="0" borderId="20" xfId="0" applyBorder="1" applyAlignment="1" applyProtection="1">
      <alignment horizontal="center" vertical="center" wrapText="1"/>
      <protection locked="0"/>
    </xf>
    <xf numFmtId="0" fontId="0" fillId="0" borderId="44" xfId="0" applyBorder="1" applyAlignment="1" applyProtection="1">
      <alignment horizontal="center" vertical="center" wrapText="1"/>
      <protection locked="0"/>
    </xf>
    <xf numFmtId="0" fontId="0" fillId="6" borderId="20" xfId="0" applyFill="1" applyBorder="1" applyAlignment="1" applyProtection="1">
      <alignment horizontal="center" vertical="center" wrapText="1"/>
      <protection locked="0"/>
    </xf>
    <xf numFmtId="0" fontId="1" fillId="0" borderId="18" xfId="0" applyFont="1" applyBorder="1" applyAlignment="1" applyProtection="1">
      <alignment horizontal="center" vertical="center" wrapText="1"/>
      <protection locked="0"/>
    </xf>
    <xf numFmtId="0" fontId="1" fillId="0" borderId="23" xfId="0" applyFont="1" applyBorder="1" applyAlignment="1" applyProtection="1">
      <alignment horizontal="center" vertical="center" wrapText="1"/>
      <protection locked="0"/>
    </xf>
    <xf numFmtId="0" fontId="0" fillId="0" borderId="23" xfId="0" applyBorder="1" applyAlignment="1" applyProtection="1">
      <alignment horizontal="center" vertical="center" wrapText="1"/>
      <protection locked="0"/>
    </xf>
    <xf numFmtId="0" fontId="26" fillId="0" borderId="45" xfId="24" applyFont="1" applyBorder="1" applyAlignment="1">
      <alignment horizontal="center" vertical="center" wrapText="1"/>
    </xf>
    <xf numFmtId="0" fontId="40" fillId="0" borderId="46" xfId="24" applyFont="1" applyBorder="1"/>
    <xf numFmtId="0" fontId="41" fillId="0" borderId="45" xfId="24" applyFont="1" applyBorder="1" applyAlignment="1">
      <alignment horizontal="center" vertical="center" wrapText="1"/>
    </xf>
    <xf numFmtId="0" fontId="40" fillId="0" borderId="47" xfId="24" applyFont="1" applyBorder="1"/>
    <xf numFmtId="0" fontId="42" fillId="0" borderId="48" xfId="24" applyFont="1" applyBorder="1" applyAlignment="1">
      <alignment horizontal="left"/>
    </xf>
    <xf numFmtId="0" fontId="40" fillId="0" borderId="49" xfId="24" applyFont="1" applyBorder="1"/>
    <xf numFmtId="0" fontId="39" fillId="0" borderId="0" xfId="24" applyAlignment="1">
      <alignment vertical="center"/>
    </xf>
    <xf numFmtId="0" fontId="39" fillId="0" borderId="0" xfId="24"/>
    <xf numFmtId="0" fontId="40" fillId="0" borderId="50" xfId="24" applyFont="1" applyBorder="1"/>
    <xf numFmtId="0" fontId="40" fillId="0" borderId="51" xfId="24" applyFont="1" applyBorder="1"/>
    <xf numFmtId="0" fontId="40" fillId="0" borderId="52" xfId="24" applyFont="1" applyBorder="1"/>
    <xf numFmtId="0" fontId="40" fillId="0" borderId="53" xfId="24" applyFont="1" applyBorder="1"/>
    <xf numFmtId="0" fontId="40" fillId="0" borderId="54" xfId="24" applyFont="1" applyBorder="1"/>
    <xf numFmtId="0" fontId="44" fillId="0" borderId="48" xfId="24" applyFont="1" applyBorder="1" applyAlignment="1">
      <alignment horizontal="center" vertical="center" wrapText="1"/>
    </xf>
    <xf numFmtId="0" fontId="40" fillId="0" borderId="55" xfId="24" applyFont="1" applyBorder="1"/>
    <xf numFmtId="0" fontId="45" fillId="0" borderId="48" xfId="24" applyFont="1" applyBorder="1" applyAlignment="1">
      <alignment horizontal="left"/>
    </xf>
    <xf numFmtId="0" fontId="30" fillId="0" borderId="0" xfId="24" applyFont="1" applyAlignment="1">
      <alignment horizontal="center" vertical="center"/>
    </xf>
    <xf numFmtId="0" fontId="39" fillId="0" borderId="0" xfId="24"/>
    <xf numFmtId="0" fontId="47" fillId="0" borderId="0" xfId="24" applyFont="1" applyAlignment="1">
      <alignment horizontal="center" vertical="center"/>
    </xf>
    <xf numFmtId="0" fontId="41" fillId="0" borderId="0" xfId="24" applyFont="1" applyAlignment="1">
      <alignment horizontal="center" vertical="center"/>
    </xf>
    <xf numFmtId="0" fontId="48" fillId="0" borderId="0" xfId="24" applyFont="1" applyAlignment="1">
      <alignment horizontal="center" vertical="center"/>
    </xf>
    <xf numFmtId="0" fontId="31" fillId="0" borderId="56" xfId="24" applyFont="1" applyBorder="1" applyAlignment="1">
      <alignment vertical="center" wrapText="1"/>
    </xf>
    <xf numFmtId="0" fontId="31" fillId="0" borderId="48" xfId="24" applyFont="1" applyBorder="1" applyAlignment="1">
      <alignment horizontal="center" vertical="center" wrapText="1"/>
    </xf>
    <xf numFmtId="0" fontId="31" fillId="0" borderId="56" xfId="24" applyFont="1" applyBorder="1" applyAlignment="1">
      <alignment horizontal="center" vertical="center" wrapText="1"/>
    </xf>
    <xf numFmtId="0" fontId="39" fillId="0" borderId="48" xfId="24" applyBorder="1" applyAlignment="1">
      <alignment horizontal="center" vertical="center"/>
    </xf>
    <xf numFmtId="173" fontId="31" fillId="0" borderId="56" xfId="24" applyNumberFormat="1" applyFont="1" applyBorder="1" applyAlignment="1">
      <alignment horizontal="center" vertical="center" wrapText="1"/>
    </xf>
    <xf numFmtId="0" fontId="31" fillId="0" borderId="48" xfId="24" applyFont="1" applyBorder="1" applyAlignment="1">
      <alignment horizontal="left" vertical="center" wrapText="1"/>
    </xf>
    <xf numFmtId="0" fontId="50" fillId="0" borderId="48" xfId="24" applyFont="1" applyBorder="1" applyAlignment="1">
      <alignment horizontal="center" vertical="center" wrapText="1"/>
    </xf>
    <xf numFmtId="0" fontId="51" fillId="0" borderId="0" xfId="24" applyFont="1" applyAlignment="1">
      <alignment vertical="center" wrapText="1"/>
    </xf>
    <xf numFmtId="0" fontId="52" fillId="0" borderId="57" xfId="24" applyFont="1" applyBorder="1" applyAlignment="1">
      <alignment horizontal="center" vertical="center" wrapText="1"/>
    </xf>
    <xf numFmtId="0" fontId="40" fillId="0" borderId="58" xfId="24" applyFont="1" applyBorder="1"/>
    <xf numFmtId="0" fontId="40" fillId="0" borderId="59" xfId="24" applyFont="1" applyBorder="1"/>
    <xf numFmtId="0" fontId="53" fillId="0" borderId="56" xfId="24" applyFont="1" applyBorder="1" applyAlignment="1">
      <alignment horizontal="center" vertical="center" wrapText="1"/>
    </xf>
    <xf numFmtId="0" fontId="53" fillId="0" borderId="56" xfId="24" applyFont="1" applyBorder="1" applyAlignment="1">
      <alignment vertical="center" wrapText="1"/>
    </xf>
    <xf numFmtId="14" fontId="21" fillId="0" borderId="56" xfId="24" applyNumberFormat="1" applyFont="1" applyBorder="1" applyAlignment="1">
      <alignment horizontal="center" vertical="center" wrapText="1"/>
    </xf>
    <xf numFmtId="0" fontId="53" fillId="0" borderId="58" xfId="24" applyFont="1" applyBorder="1" applyAlignment="1">
      <alignment horizontal="center" vertical="center" wrapText="1"/>
    </xf>
    <xf numFmtId="0" fontId="53" fillId="0" borderId="58" xfId="24" applyFont="1" applyBorder="1" applyAlignment="1">
      <alignment vertical="center" wrapText="1"/>
    </xf>
    <xf numFmtId="0" fontId="54" fillId="0" borderId="0" xfId="24" applyFont="1" applyAlignment="1">
      <alignment horizontal="left" vertical="center"/>
    </xf>
    <xf numFmtId="0" fontId="54" fillId="0" borderId="0" xfId="24" applyFont="1" applyAlignment="1">
      <alignment horizontal="center" vertical="center"/>
    </xf>
    <xf numFmtId="0" fontId="28" fillId="0" borderId="20" xfId="0" applyFont="1" applyBorder="1" applyAlignment="1" applyProtection="1">
      <alignment vertical="center" wrapText="1"/>
      <protection hidden="1"/>
    </xf>
    <xf numFmtId="0" fontId="28" fillId="0" borderId="19" xfId="0" applyFont="1" applyBorder="1" applyAlignment="1" applyProtection="1">
      <alignment vertical="center" wrapText="1"/>
      <protection hidden="1"/>
    </xf>
    <xf numFmtId="0" fontId="28" fillId="0" borderId="20" xfId="0" applyFont="1" applyBorder="1" applyAlignment="1" applyProtection="1">
      <alignment wrapText="1"/>
      <protection hidden="1"/>
    </xf>
    <xf numFmtId="0" fontId="28" fillId="0" borderId="19" xfId="0" applyFont="1" applyBorder="1" applyAlignment="1" applyProtection="1">
      <alignment wrapText="1"/>
      <protection hidden="1"/>
    </xf>
    <xf numFmtId="0" fontId="30" fillId="0" borderId="16" xfId="0" applyFont="1" applyBorder="1" applyAlignment="1" applyProtection="1">
      <alignment horizontal="center"/>
      <protection hidden="1"/>
    </xf>
    <xf numFmtId="0" fontId="30" fillId="0" borderId="35" xfId="0" applyFont="1" applyBorder="1" applyAlignment="1" applyProtection="1">
      <alignment horizontal="center"/>
      <protection hidden="1"/>
    </xf>
    <xf numFmtId="0" fontId="27" fillId="0" borderId="20" xfId="0" applyFont="1" applyBorder="1" applyAlignment="1" applyProtection="1">
      <alignment horizontal="center" vertical="center" wrapText="1"/>
      <protection hidden="1"/>
    </xf>
    <xf numFmtId="0" fontId="27" fillId="0" borderId="25" xfId="0" applyFont="1" applyBorder="1" applyAlignment="1" applyProtection="1">
      <alignment horizontal="center" vertical="center" wrapText="1"/>
      <protection hidden="1"/>
    </xf>
    <xf numFmtId="0" fontId="27" fillId="0" borderId="19" xfId="0" applyFont="1" applyBorder="1" applyAlignment="1" applyProtection="1">
      <alignment horizontal="center" vertical="center" wrapText="1"/>
      <protection hidden="1"/>
    </xf>
    <xf numFmtId="0" fontId="29" fillId="0" borderId="20" xfId="0" applyFont="1" applyBorder="1" applyAlignment="1" applyProtection="1">
      <alignment horizontal="center" vertical="center" wrapText="1"/>
      <protection hidden="1"/>
    </xf>
    <xf numFmtId="0" fontId="29" fillId="0" borderId="25" xfId="0" applyFont="1" applyBorder="1" applyAlignment="1" applyProtection="1">
      <alignment horizontal="center" vertical="center" wrapText="1"/>
      <protection hidden="1"/>
    </xf>
    <xf numFmtId="0" fontId="29" fillId="0" borderId="19" xfId="0" applyFont="1" applyBorder="1" applyAlignment="1" applyProtection="1">
      <alignment horizontal="center" vertical="center" wrapText="1"/>
      <protection hidden="1"/>
    </xf>
  </cellXfs>
  <cellStyles count="25">
    <cellStyle name="Estilo 1" xfId="2" xr:uid="{00000000-0005-0000-0000-000000000000}"/>
    <cellStyle name="Millares [0] 2" xfId="6" xr:uid="{00000000-0005-0000-0000-000001000000}"/>
    <cellStyle name="Millares [0] 2 2" xfId="10" xr:uid="{00000000-0005-0000-0000-000002000000}"/>
    <cellStyle name="Millares [0] 2 2 2" xfId="14" xr:uid="{00000000-0005-0000-0000-000003000000}"/>
    <cellStyle name="Millares [0] 2 2 2 2" xfId="22" xr:uid="{00000000-0005-0000-0000-000004000000}"/>
    <cellStyle name="Millares [0] 2 2 3" xfId="18" xr:uid="{00000000-0005-0000-0000-000005000000}"/>
    <cellStyle name="Millares [0] 2 3" xfId="12" xr:uid="{00000000-0005-0000-0000-000006000000}"/>
    <cellStyle name="Millares [0] 2 3 2" xfId="20" xr:uid="{00000000-0005-0000-0000-000007000000}"/>
    <cellStyle name="Millares [0] 2 4" xfId="16" xr:uid="{00000000-0005-0000-0000-000008000000}"/>
    <cellStyle name="Millares [0] 3" xfId="9" xr:uid="{00000000-0005-0000-0000-000009000000}"/>
    <cellStyle name="Millares [0] 3 2" xfId="13" xr:uid="{00000000-0005-0000-0000-00000A000000}"/>
    <cellStyle name="Millares [0] 3 2 2" xfId="21" xr:uid="{00000000-0005-0000-0000-00000B000000}"/>
    <cellStyle name="Millares [0] 3 3" xfId="17" xr:uid="{00000000-0005-0000-0000-00000C000000}"/>
    <cellStyle name="Millares [0] 4" xfId="11" xr:uid="{00000000-0005-0000-0000-00000D000000}"/>
    <cellStyle name="Millares [0] 4 2" xfId="19" xr:uid="{00000000-0005-0000-0000-00000E000000}"/>
    <cellStyle name="Millares [0] 5" xfId="15" xr:uid="{00000000-0005-0000-0000-00000F000000}"/>
    <cellStyle name="Moneda [0] 2" xfId="23" xr:uid="{00000000-0005-0000-0000-000010000000}"/>
    <cellStyle name="Normal" xfId="0" builtinId="0"/>
    <cellStyle name="Normal 2" xfId="3" xr:uid="{00000000-0005-0000-0000-000012000000}"/>
    <cellStyle name="Normal 2 2" xfId="7" xr:uid="{00000000-0005-0000-0000-000013000000}"/>
    <cellStyle name="Normal 3" xfId="5" xr:uid="{00000000-0005-0000-0000-000014000000}"/>
    <cellStyle name="Normal 4" xfId="24" xr:uid="{CAE65E07-6C08-45CE-ADC3-95984EF3FB40}"/>
    <cellStyle name="Porcentaje" xfId="1" builtinId="5"/>
    <cellStyle name="Porcentaje 2" xfId="4" xr:uid="{00000000-0005-0000-0000-000016000000}"/>
    <cellStyle name="Porcentaje 2 2" xfId="8" xr:uid="{00000000-0005-0000-0000-000017000000}"/>
  </cellStyles>
  <dxfs count="36">
    <dxf>
      <font>
        <color rgb="FFFF0000"/>
      </font>
      <fill>
        <patternFill>
          <bgColor rgb="FFFF9999"/>
        </patternFill>
      </fill>
    </dxf>
    <dxf>
      <font>
        <color rgb="FFFF0000"/>
      </font>
      <fill>
        <patternFill>
          <bgColor rgb="FFFF9999"/>
        </patternFill>
      </fill>
    </dxf>
    <dxf>
      <font>
        <color rgb="FFFF0000"/>
      </font>
      <fill>
        <patternFill>
          <bgColor rgb="FFFF9999"/>
        </patternFill>
      </fill>
    </dxf>
    <dxf>
      <font>
        <color rgb="FFFF0000"/>
      </font>
      <fill>
        <patternFill>
          <bgColor rgb="FFFF9999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0.499984740745262"/>
        <name val="Century Gothic"/>
        <family val="2"/>
        <scheme val="minor"/>
      </font>
      <numFmt numFmtId="169" formatCode="0.0%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b/>
        <strike val="0"/>
        <outline val="0"/>
        <shadow val="0"/>
        <u val="none"/>
        <vertAlign val="baseline"/>
        <color theme="0" tint="-0.499984740745262"/>
        <name val="Century Gothic"/>
        <family val="2"/>
        <scheme val="minor"/>
      </font>
      <numFmt numFmtId="169" formatCode="0.0%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b/>
        <strike val="0"/>
        <outline val="0"/>
        <shadow val="0"/>
        <u val="none"/>
        <vertAlign val="baseline"/>
        <color theme="0" tint="-0.499984740745262"/>
        <name val="Century Gothic"/>
        <family val="2"/>
        <scheme val="minor"/>
      </font>
      <numFmt numFmtId="166" formatCode="0.000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entury Gothic"/>
        <family val="2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entury Gothic"/>
        <family val="2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numFmt numFmtId="166" formatCode="0.0000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numFmt numFmtId="166" formatCode="0.000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numFmt numFmtId="166" formatCode="0.000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numFmt numFmtId="168" formatCode="yyyy\-mm\-dd;@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numFmt numFmtId="168" formatCode="yyyy\-mm\-dd;@"/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entury Gothic"/>
        <family val="2"/>
        <scheme val="minor"/>
      </font>
      <fill>
        <patternFill patternType="solid">
          <fgColor indexed="64"/>
          <bgColor theme="4" tint="0.39997558519241921"/>
        </patternFill>
      </fill>
      <alignment horizontal="center" vertical="center" textRotation="0" wrapText="1" indent="0" justifyLastLine="0" shrinkToFit="0" readingOrder="0"/>
      <protection locked="1" hidden="1"/>
    </dxf>
    <dxf>
      <numFmt numFmtId="169" formatCode="0.0%"/>
    </dxf>
    <dxf>
      <numFmt numFmtId="169" formatCode="0.0%"/>
    </dxf>
    <dxf>
      <numFmt numFmtId="169" formatCode="0.0%"/>
    </dxf>
    <dxf>
      <numFmt numFmtId="19" formatCode="yyyy/mm/dd"/>
    </dxf>
    <dxf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scheme val="minor"/>
      </font>
      <numFmt numFmtId="169" formatCode="0.0%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4" formatCode="0.00%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4" formatCode="0.00%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/>
        <right style="thin">
          <color indexed="64"/>
        </right>
        <top style="thin">
          <color auto="1"/>
        </top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7.xml"/><Relationship Id="rId13" Type="http://schemas.openxmlformats.org/officeDocument/2006/relationships/worksheet" Target="worksheets/sheet12.xml"/><Relationship Id="rId1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6.xml"/><Relationship Id="rId12" Type="http://schemas.openxmlformats.org/officeDocument/2006/relationships/worksheet" Target="worksheets/sheet11.xml"/><Relationship Id="rId1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connections" Target="connection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5.xml"/><Relationship Id="rId11" Type="http://schemas.openxmlformats.org/officeDocument/2006/relationships/worksheet" Target="worksheets/sheet10.xml"/><Relationship Id="rId24" Type="http://schemas.openxmlformats.org/officeDocument/2006/relationships/customXml" Target="../customXml/item1.xml"/><Relationship Id="rId5" Type="http://schemas.openxmlformats.org/officeDocument/2006/relationships/worksheet" Target="worksheets/sheet4.xml"/><Relationship Id="rId15" Type="http://schemas.openxmlformats.org/officeDocument/2006/relationships/externalLink" Target="externalLinks/externalLink1.xml"/><Relationship Id="rId23" Type="http://schemas.openxmlformats.org/officeDocument/2006/relationships/calcChain" Target="calcChain.xml"/><Relationship Id="rId10" Type="http://schemas.openxmlformats.org/officeDocument/2006/relationships/worksheet" Target="worksheets/sheet9.xml"/><Relationship Id="rId19" Type="http://schemas.openxmlformats.org/officeDocument/2006/relationships/theme" Target="theme/theme1.xml"/><Relationship Id="rId4" Type="http://schemas.openxmlformats.org/officeDocument/2006/relationships/chartsheet" Target="chartsheets/sheet1.xml"/><Relationship Id="rId9" Type="http://schemas.openxmlformats.org/officeDocument/2006/relationships/worksheet" Target="worksheets/sheet8.xml"/><Relationship Id="rId14" Type="http://schemas.openxmlformats.org/officeDocument/2006/relationships/worksheet" Target="worksheets/sheet13.xml"/><Relationship Id="rId22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FACTOR DE CORRECCION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21266926979839393"/>
                  <c:y val="-3.0251268664098038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</c:trendlineLbl>
          </c:trendline>
          <c:xVal>
            <c:numRef>
              <c:f>#REF!</c:f>
            </c:numRef>
          </c:xVal>
          <c:y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 </c15:sqref>
                        </c15:formulaRef>
                      </c:ext>
                    </c:extLst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F748-46DC-8CA7-BAFDD6225C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9634432"/>
        <c:axId val="59636352"/>
      </c:scatterChart>
      <c:valAx>
        <c:axId val="596344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INDICACIÓN (g)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9636352"/>
        <c:crosses val="autoZero"/>
        <c:crossBetween val="midCat"/>
      </c:valAx>
      <c:valAx>
        <c:axId val="59636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CORRECCIÓN (g)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963443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sz="1200"/>
              <a:t>Absorbancia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7.0280666376202852E-2"/>
                  <c:y val="1.8010760312742492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</c:trendlineLbl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'Curva Fósforo'!$A$72:$A$75</c:f>
              <c:numCache>
                <c:formatCode>General</c:formatCode>
                <c:ptCount val="4"/>
                <c:pt idx="0">
                  <c:v>0.5</c:v>
                </c:pt>
                <c:pt idx="1">
                  <c:v>0.8</c:v>
                </c:pt>
                <c:pt idx="2">
                  <c:v>1.2</c:v>
                </c:pt>
                <c:pt idx="3">
                  <c:v>1.5</c:v>
                </c:pt>
              </c:numCache>
            </c:numRef>
          </c:xVal>
          <c:yVal>
            <c:numRef>
              <c:f>'Curva Fósforo'!$C$72:$C$75</c:f>
              <c:numCache>
                <c:formatCode>General</c:formatCode>
                <c:ptCount val="4"/>
                <c:pt idx="0">
                  <c:v>0.44611697335612566</c:v>
                </c:pt>
                <c:pt idx="1">
                  <c:v>0.6882461389442458</c:v>
                </c:pt>
                <c:pt idx="2">
                  <c:v>1.0481769646840879</c:v>
                </c:pt>
                <c:pt idx="3">
                  <c:v>1.3306831194338877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1EBF-4531-ACD9-B2AFA2D43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5548160"/>
        <c:axId val="55558528"/>
      </c:scatterChart>
      <c:valAx>
        <c:axId val="5554816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Concentración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5558528"/>
        <c:crosses val="autoZero"/>
        <c:crossBetween val="midCat"/>
      </c:valAx>
      <c:valAx>
        <c:axId val="5555852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Absorbancia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554816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Absorbancia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16362182852143481"/>
                  <c:y val="1.1608705161854768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</c:trendlineLbl>
          </c:trendline>
          <c:xVal>
            <c:numRef>
              <c:f>'Curva Fósforo'!$A$100:$A$103</c:f>
              <c:numCache>
                <c:formatCode>General</c:formatCode>
                <c:ptCount val="4"/>
                <c:pt idx="0">
                  <c:v>0.5</c:v>
                </c:pt>
                <c:pt idx="1">
                  <c:v>0.8</c:v>
                </c:pt>
                <c:pt idx="2">
                  <c:v>1</c:v>
                </c:pt>
                <c:pt idx="3">
                  <c:v>1.5</c:v>
                </c:pt>
              </c:numCache>
            </c:numRef>
          </c:xVal>
          <c:yVal>
            <c:numRef>
              <c:f>'Curva Fósforo'!$C$100:$C$103</c:f>
              <c:numCache>
                <c:formatCode>General</c:formatCode>
                <c:ptCount val="4"/>
                <c:pt idx="0">
                  <c:v>0.48199999999999998</c:v>
                </c:pt>
                <c:pt idx="1">
                  <c:v>0.73</c:v>
                </c:pt>
                <c:pt idx="2">
                  <c:v>0.89700000000000002</c:v>
                </c:pt>
                <c:pt idx="3">
                  <c:v>1.323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6AD-4530-81EB-F1296CA693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5672832"/>
        <c:axId val="55674752"/>
      </c:scatterChart>
      <c:valAx>
        <c:axId val="5567283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Concentración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5674752"/>
        <c:crosses val="autoZero"/>
        <c:crossBetween val="midCat"/>
      </c:valAx>
      <c:valAx>
        <c:axId val="556747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Absorbancia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567283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</c:trendlineLbl>
          </c:trendline>
          <c:xVal>
            <c:numRef>
              <c:f>'Curva Fósforo'!$A$116:$A$120</c:f>
              <c:numCache>
                <c:formatCode>General</c:formatCode>
                <c:ptCount val="5"/>
                <c:pt idx="0">
                  <c:v>0.5</c:v>
                </c:pt>
                <c:pt idx="1">
                  <c:v>0.8</c:v>
                </c:pt>
                <c:pt idx="2">
                  <c:v>1</c:v>
                </c:pt>
                <c:pt idx="3">
                  <c:v>1.2</c:v>
                </c:pt>
                <c:pt idx="4">
                  <c:v>1.5</c:v>
                </c:pt>
              </c:numCache>
            </c:numRef>
          </c:xVal>
          <c:yVal>
            <c:numRef>
              <c:f>'Curva Fósforo'!$C$116:$C$120</c:f>
              <c:numCache>
                <c:formatCode>General</c:formatCode>
                <c:ptCount val="5"/>
                <c:pt idx="0">
                  <c:v>0.52800000000000002</c:v>
                </c:pt>
                <c:pt idx="1">
                  <c:v>0.79800000000000004</c:v>
                </c:pt>
                <c:pt idx="2">
                  <c:v>0.96599999999999997</c:v>
                </c:pt>
                <c:pt idx="3">
                  <c:v>1.135</c:v>
                </c:pt>
                <c:pt idx="4">
                  <c:v>1.395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C12-4F34-A99A-E9A5B79923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5721344"/>
        <c:axId val="55735808"/>
      </c:scatterChart>
      <c:valAx>
        <c:axId val="55721344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5735808"/>
        <c:crosses val="autoZero"/>
        <c:crossBetween val="midCat"/>
      </c:valAx>
      <c:valAx>
        <c:axId val="557358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572134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PRECISION!$A$1</c:f>
          <c:strCache>
            <c:ptCount val="1"/>
            <c:pt idx="0">
              <c:v>GRAFICO CONTROL DE PRECISIÓN PARA LECHE Y PRODUCTOS LACTEOS ENTRE 2021-01-18 Y 2021-12-30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PRECISION!$D$2</c:f>
              <c:strCache>
                <c:ptCount val="1"/>
                <c:pt idx="0">
                  <c:v>RPD%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multiLvlStrRef>
              <c:f>PRECISION!$A$3:$B$32</c:f>
              <c:multiLvlStrCache>
                <c:ptCount val="30"/>
                <c:lvl>
                  <c:pt idx="0">
                    <c:v>0348-21</c:v>
                  </c:pt>
                  <c:pt idx="1">
                    <c:v>1091-21</c:v>
                  </c:pt>
                  <c:pt idx="2">
                    <c:v>1156-21</c:v>
                  </c:pt>
                  <c:pt idx="3">
                    <c:v>1934-21</c:v>
                  </c:pt>
                  <c:pt idx="4">
                    <c:v>2111-21</c:v>
                  </c:pt>
                  <c:pt idx="5">
                    <c:v>3466-21</c:v>
                  </c:pt>
                  <c:pt idx="6">
                    <c:v>3826-21</c:v>
                  </c:pt>
                  <c:pt idx="7">
                    <c:v>4133-21</c:v>
                  </c:pt>
                  <c:pt idx="8">
                    <c:v>4395-21</c:v>
                  </c:pt>
                  <c:pt idx="9">
                    <c:v>10537-20</c:v>
                  </c:pt>
                  <c:pt idx="10">
                    <c:v>0383-21</c:v>
                  </c:pt>
                  <c:pt idx="11">
                    <c:v>0384-21</c:v>
                  </c:pt>
                  <c:pt idx="12">
                    <c:v>0383-21</c:v>
                  </c:pt>
                  <c:pt idx="13">
                    <c:v>0384-21</c:v>
                  </c:pt>
                  <c:pt idx="14">
                    <c:v>3566-21</c:v>
                  </c:pt>
                  <c:pt idx="15">
                    <c:v>4301-21</c:v>
                  </c:pt>
                  <c:pt idx="16">
                    <c:v>4497-21</c:v>
                  </c:pt>
                  <c:pt idx="17">
                    <c:v>1525-21</c:v>
                  </c:pt>
                  <c:pt idx="18">
                    <c:v>2573-21</c:v>
                  </c:pt>
                  <c:pt idx="19">
                    <c:v>3405-21</c:v>
                  </c:pt>
                  <c:pt idx="20">
                    <c:v>4673-21</c:v>
                  </c:pt>
                  <c:pt idx="21">
                    <c:v>1563-21</c:v>
                  </c:pt>
                  <c:pt idx="22">
                    <c:v>2215-21</c:v>
                  </c:pt>
                  <c:pt idx="23">
                    <c:v>2216-21</c:v>
                  </c:pt>
                  <c:pt idx="24">
                    <c:v>2444-21</c:v>
                  </c:pt>
                  <c:pt idx="25">
                    <c:v>2443-21</c:v>
                  </c:pt>
                  <c:pt idx="26">
                    <c:v>2333-21</c:v>
                  </c:pt>
                  <c:pt idx="27">
                    <c:v>2785-21</c:v>
                  </c:pt>
                  <c:pt idx="28">
                    <c:v>4300-21</c:v>
                  </c:pt>
                  <c:pt idx="29">
                    <c:v>3405-21</c:v>
                  </c:pt>
                </c:lvl>
                <c:lvl>
                  <c:pt idx="0">
                    <c:v>2021-01-18</c:v>
                  </c:pt>
                  <c:pt idx="1">
                    <c:v>2021-02-11</c:v>
                  </c:pt>
                  <c:pt idx="2">
                    <c:v>2021-02-11</c:v>
                  </c:pt>
                  <c:pt idx="3">
                    <c:v>2021-03-13</c:v>
                  </c:pt>
                  <c:pt idx="4">
                    <c:v>2021-03-17</c:v>
                  </c:pt>
                  <c:pt idx="5">
                    <c:v>2021-04-14</c:v>
                  </c:pt>
                  <c:pt idx="6">
                    <c:v>2021-04-20</c:v>
                  </c:pt>
                  <c:pt idx="7">
                    <c:v>2021-04-29</c:v>
                  </c:pt>
                  <c:pt idx="8">
                    <c:v>2021-05-03</c:v>
                  </c:pt>
                  <c:pt idx="9">
                    <c:v>2021-12-30</c:v>
                  </c:pt>
                  <c:pt idx="10">
                    <c:v>2021-01-22</c:v>
                  </c:pt>
                  <c:pt idx="11">
                    <c:v>2021-01-22</c:v>
                  </c:pt>
                  <c:pt idx="12">
                    <c:v>2021-01-28</c:v>
                  </c:pt>
                  <c:pt idx="13">
                    <c:v>2021-01-28</c:v>
                  </c:pt>
                  <c:pt idx="14">
                    <c:v>2021-04-14</c:v>
                  </c:pt>
                  <c:pt idx="15">
                    <c:v>2021-05-03</c:v>
                  </c:pt>
                  <c:pt idx="16">
                    <c:v>2021-05-11</c:v>
                  </c:pt>
                  <c:pt idx="17">
                    <c:v>2021-03-02</c:v>
                  </c:pt>
                  <c:pt idx="18">
                    <c:v>2021-03-24</c:v>
                  </c:pt>
                  <c:pt idx="19">
                    <c:v>2021-04-14</c:v>
                  </c:pt>
                  <c:pt idx="20">
                    <c:v>2021-05-11</c:v>
                  </c:pt>
                  <c:pt idx="21">
                    <c:v>2021-03-02</c:v>
                  </c:pt>
                  <c:pt idx="22">
                    <c:v>2021-03-13</c:v>
                  </c:pt>
                  <c:pt idx="23">
                    <c:v>2021-03-17</c:v>
                  </c:pt>
                  <c:pt idx="24">
                    <c:v>2021-03-24</c:v>
                  </c:pt>
                  <c:pt idx="25">
                    <c:v>2021-04-03</c:v>
                  </c:pt>
                  <c:pt idx="26">
                    <c:v>2021-03-20</c:v>
                  </c:pt>
                  <c:pt idx="27">
                    <c:v>2021-03-24</c:v>
                  </c:pt>
                  <c:pt idx="28">
                    <c:v>2021-05-03</c:v>
                  </c:pt>
                  <c:pt idx="29">
                    <c:v>2021-04-20</c:v>
                  </c:pt>
                </c:lvl>
              </c:multiLvlStrCache>
            </c:multiLvlStrRef>
          </c:cat>
          <c:val>
            <c:numRef>
              <c:f>PRECISION!$D$3:$D$32</c:f>
              <c:numCache>
                <c:formatCode>0.0%</c:formatCode>
                <c:ptCount val="30"/>
                <c:pt idx="0">
                  <c:v>0.25930680359428399</c:v>
                </c:pt>
                <c:pt idx="1">
                  <c:v>1.6223248006714099</c:v>
                </c:pt>
                <c:pt idx="2">
                  <c:v>9.0047393364804607E-2</c:v>
                </c:pt>
                <c:pt idx="3">
                  <c:v>7.9320113314465104E-2</c:v>
                </c:pt>
                <c:pt idx="4">
                  <c:v>7.5736325385668005E-2</c:v>
                </c:pt>
                <c:pt idx="5">
                  <c:v>9.5459837019821497E-2</c:v>
                </c:pt>
                <c:pt idx="6">
                  <c:v>8.9430894308887399E-2</c:v>
                </c:pt>
                <c:pt idx="7">
                  <c:v>5.3097345132609698E-2</c:v>
                </c:pt>
                <c:pt idx="8">
                  <c:v>2.21238938053369E-2</c:v>
                </c:pt>
                <c:pt idx="10">
                  <c:v>0</c:v>
                </c:pt>
                <c:pt idx="11">
                  <c:v>9.3913043478263E-2</c:v>
                </c:pt>
                <c:pt idx="12">
                  <c:v>0.12887828162294501</c:v>
                </c:pt>
                <c:pt idx="13">
                  <c:v>0.24505928853756001</c:v>
                </c:pt>
                <c:pt idx="14">
                  <c:v>8.7976539589409396E-3</c:v>
                </c:pt>
                <c:pt idx="15">
                  <c:v>0.13333333333335101</c:v>
                </c:pt>
                <c:pt idx="16">
                  <c:v>1.7699115044208801E-2</c:v>
                </c:pt>
                <c:pt idx="17">
                  <c:v>7.3884626314121397E-3</c:v>
                </c:pt>
                <c:pt idx="18">
                  <c:v>0.101752402487285</c:v>
                </c:pt>
                <c:pt idx="19">
                  <c:v>8.2417582416903397E-3</c:v>
                </c:pt>
                <c:pt idx="20">
                  <c:v>3.0030030030031799E-2</c:v>
                </c:pt>
                <c:pt idx="21">
                  <c:v>4.1623309052972197E-3</c:v>
                </c:pt>
                <c:pt idx="22">
                  <c:v>0.18423041397262599</c:v>
                </c:pt>
                <c:pt idx="23">
                  <c:v>8.6834733893553395E-2</c:v>
                </c:pt>
                <c:pt idx="24">
                  <c:v>1.4262205156302299E-2</c:v>
                </c:pt>
                <c:pt idx="25">
                  <c:v>1.36518771330735E-2</c:v>
                </c:pt>
                <c:pt idx="26">
                  <c:v>1.55092193692862E-2</c:v>
                </c:pt>
                <c:pt idx="27">
                  <c:v>4.5865768988005699E-2</c:v>
                </c:pt>
                <c:pt idx="28">
                  <c:v>5.2464228934807199E-2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EC-47F9-8B61-E99D61054601}"/>
            </c:ext>
          </c:extLst>
        </c:ser>
        <c:ser>
          <c:idx val="1"/>
          <c:order val="1"/>
          <c:tx>
            <c:strRef>
              <c:f>PRECISION!$E$2</c:f>
              <c:strCache>
                <c:ptCount val="1"/>
                <c:pt idx="0">
                  <c:v>LIMITE DE ALERTA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multiLvlStrRef>
              <c:f>PRECISION!$A$3:$B$32</c:f>
              <c:multiLvlStrCache>
                <c:ptCount val="30"/>
                <c:lvl>
                  <c:pt idx="0">
                    <c:v>0348-21</c:v>
                  </c:pt>
                  <c:pt idx="1">
                    <c:v>1091-21</c:v>
                  </c:pt>
                  <c:pt idx="2">
                    <c:v>1156-21</c:v>
                  </c:pt>
                  <c:pt idx="3">
                    <c:v>1934-21</c:v>
                  </c:pt>
                  <c:pt idx="4">
                    <c:v>2111-21</c:v>
                  </c:pt>
                  <c:pt idx="5">
                    <c:v>3466-21</c:v>
                  </c:pt>
                  <c:pt idx="6">
                    <c:v>3826-21</c:v>
                  </c:pt>
                  <c:pt idx="7">
                    <c:v>4133-21</c:v>
                  </c:pt>
                  <c:pt idx="8">
                    <c:v>4395-21</c:v>
                  </c:pt>
                  <c:pt idx="9">
                    <c:v>10537-20</c:v>
                  </c:pt>
                  <c:pt idx="10">
                    <c:v>0383-21</c:v>
                  </c:pt>
                  <c:pt idx="11">
                    <c:v>0384-21</c:v>
                  </c:pt>
                  <c:pt idx="12">
                    <c:v>0383-21</c:v>
                  </c:pt>
                  <c:pt idx="13">
                    <c:v>0384-21</c:v>
                  </c:pt>
                  <c:pt idx="14">
                    <c:v>3566-21</c:v>
                  </c:pt>
                  <c:pt idx="15">
                    <c:v>4301-21</c:v>
                  </c:pt>
                  <c:pt idx="16">
                    <c:v>4497-21</c:v>
                  </c:pt>
                  <c:pt idx="17">
                    <c:v>1525-21</c:v>
                  </c:pt>
                  <c:pt idx="18">
                    <c:v>2573-21</c:v>
                  </c:pt>
                  <c:pt idx="19">
                    <c:v>3405-21</c:v>
                  </c:pt>
                  <c:pt idx="20">
                    <c:v>4673-21</c:v>
                  </c:pt>
                  <c:pt idx="21">
                    <c:v>1563-21</c:v>
                  </c:pt>
                  <c:pt idx="22">
                    <c:v>2215-21</c:v>
                  </c:pt>
                  <c:pt idx="23">
                    <c:v>2216-21</c:v>
                  </c:pt>
                  <c:pt idx="24">
                    <c:v>2444-21</c:v>
                  </c:pt>
                  <c:pt idx="25">
                    <c:v>2443-21</c:v>
                  </c:pt>
                  <c:pt idx="26">
                    <c:v>2333-21</c:v>
                  </c:pt>
                  <c:pt idx="27">
                    <c:v>2785-21</c:v>
                  </c:pt>
                  <c:pt idx="28">
                    <c:v>4300-21</c:v>
                  </c:pt>
                  <c:pt idx="29">
                    <c:v>3405-21</c:v>
                  </c:pt>
                </c:lvl>
                <c:lvl>
                  <c:pt idx="0">
                    <c:v>2021-01-18</c:v>
                  </c:pt>
                  <c:pt idx="1">
                    <c:v>2021-02-11</c:v>
                  </c:pt>
                  <c:pt idx="2">
                    <c:v>2021-02-11</c:v>
                  </c:pt>
                  <c:pt idx="3">
                    <c:v>2021-03-13</c:v>
                  </c:pt>
                  <c:pt idx="4">
                    <c:v>2021-03-17</c:v>
                  </c:pt>
                  <c:pt idx="5">
                    <c:v>2021-04-14</c:v>
                  </c:pt>
                  <c:pt idx="6">
                    <c:v>2021-04-20</c:v>
                  </c:pt>
                  <c:pt idx="7">
                    <c:v>2021-04-29</c:v>
                  </c:pt>
                  <c:pt idx="8">
                    <c:v>2021-05-03</c:v>
                  </c:pt>
                  <c:pt idx="9">
                    <c:v>2021-12-30</c:v>
                  </c:pt>
                  <c:pt idx="10">
                    <c:v>2021-01-22</c:v>
                  </c:pt>
                  <c:pt idx="11">
                    <c:v>2021-01-22</c:v>
                  </c:pt>
                  <c:pt idx="12">
                    <c:v>2021-01-28</c:v>
                  </c:pt>
                  <c:pt idx="13">
                    <c:v>2021-01-28</c:v>
                  </c:pt>
                  <c:pt idx="14">
                    <c:v>2021-04-14</c:v>
                  </c:pt>
                  <c:pt idx="15">
                    <c:v>2021-05-03</c:v>
                  </c:pt>
                  <c:pt idx="16">
                    <c:v>2021-05-11</c:v>
                  </c:pt>
                  <c:pt idx="17">
                    <c:v>2021-03-02</c:v>
                  </c:pt>
                  <c:pt idx="18">
                    <c:v>2021-03-24</c:v>
                  </c:pt>
                  <c:pt idx="19">
                    <c:v>2021-04-14</c:v>
                  </c:pt>
                  <c:pt idx="20">
                    <c:v>2021-05-11</c:v>
                  </c:pt>
                  <c:pt idx="21">
                    <c:v>2021-03-02</c:v>
                  </c:pt>
                  <c:pt idx="22">
                    <c:v>2021-03-13</c:v>
                  </c:pt>
                  <c:pt idx="23">
                    <c:v>2021-03-17</c:v>
                  </c:pt>
                  <c:pt idx="24">
                    <c:v>2021-03-24</c:v>
                  </c:pt>
                  <c:pt idx="25">
                    <c:v>2021-04-03</c:v>
                  </c:pt>
                  <c:pt idx="26">
                    <c:v>2021-03-20</c:v>
                  </c:pt>
                  <c:pt idx="27">
                    <c:v>2021-03-24</c:v>
                  </c:pt>
                  <c:pt idx="28">
                    <c:v>2021-05-03</c:v>
                  </c:pt>
                  <c:pt idx="29">
                    <c:v>2021-04-20</c:v>
                  </c:pt>
                </c:lvl>
              </c:multiLvlStrCache>
            </c:multiLvlStrRef>
          </c:cat>
          <c:val>
            <c:numRef>
              <c:f>PRECISION!$E$3:$E$32</c:f>
              <c:numCache>
                <c:formatCode>0.0%</c:formatCode>
                <c:ptCount val="30"/>
                <c:pt idx="0">
                  <c:v>0.24861417883621301</c:v>
                </c:pt>
                <c:pt idx="1">
                  <c:v>0.24861417883621301</c:v>
                </c:pt>
                <c:pt idx="2">
                  <c:v>0.24861417883621301</c:v>
                </c:pt>
                <c:pt idx="3">
                  <c:v>0.24861417883621301</c:v>
                </c:pt>
                <c:pt idx="4">
                  <c:v>0.24861417883621301</c:v>
                </c:pt>
                <c:pt idx="5">
                  <c:v>0.24861417883621301</c:v>
                </c:pt>
                <c:pt idx="6">
                  <c:v>0.24861417883621301</c:v>
                </c:pt>
                <c:pt idx="7">
                  <c:v>0.24861417883621301</c:v>
                </c:pt>
                <c:pt idx="8">
                  <c:v>0.24861417883621301</c:v>
                </c:pt>
                <c:pt idx="9">
                  <c:v>0.24861417883621301</c:v>
                </c:pt>
                <c:pt idx="10">
                  <c:v>0.26016649943389403</c:v>
                </c:pt>
                <c:pt idx="11">
                  <c:v>0.26016649943389403</c:v>
                </c:pt>
                <c:pt idx="12">
                  <c:v>0.26016649943389403</c:v>
                </c:pt>
                <c:pt idx="13">
                  <c:v>0.26016649943389403</c:v>
                </c:pt>
                <c:pt idx="14">
                  <c:v>0.26016649943389403</c:v>
                </c:pt>
                <c:pt idx="15">
                  <c:v>0.26016649943389403</c:v>
                </c:pt>
                <c:pt idx="16">
                  <c:v>0.26016649943389403</c:v>
                </c:pt>
                <c:pt idx="17">
                  <c:v>4.0431658973444098E-2</c:v>
                </c:pt>
                <c:pt idx="18">
                  <c:v>0.17742083557089999</c:v>
                </c:pt>
                <c:pt idx="19">
                  <c:v>0.17742083557089999</c:v>
                </c:pt>
                <c:pt idx="20">
                  <c:v>0.17742083557089999</c:v>
                </c:pt>
                <c:pt idx="22">
                  <c:v>0.12439221210634401</c:v>
                </c:pt>
                <c:pt idx="23">
                  <c:v>0.12439221210634401</c:v>
                </c:pt>
                <c:pt idx="24">
                  <c:v>0.12439221210634401</c:v>
                </c:pt>
                <c:pt idx="25">
                  <c:v>0.12439221210634401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EC-47F9-8B61-E99D61054601}"/>
            </c:ext>
          </c:extLst>
        </c:ser>
        <c:ser>
          <c:idx val="2"/>
          <c:order val="2"/>
          <c:tx>
            <c:strRef>
              <c:f>PRECISION!$F$2</c:f>
              <c:strCache>
                <c:ptCount val="1"/>
                <c:pt idx="0">
                  <c:v>LIMITE DE CONTROL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multiLvlStrRef>
              <c:f>PRECISION!$A$3:$B$32</c:f>
              <c:multiLvlStrCache>
                <c:ptCount val="30"/>
                <c:lvl>
                  <c:pt idx="0">
                    <c:v>0348-21</c:v>
                  </c:pt>
                  <c:pt idx="1">
                    <c:v>1091-21</c:v>
                  </c:pt>
                  <c:pt idx="2">
                    <c:v>1156-21</c:v>
                  </c:pt>
                  <c:pt idx="3">
                    <c:v>1934-21</c:v>
                  </c:pt>
                  <c:pt idx="4">
                    <c:v>2111-21</c:v>
                  </c:pt>
                  <c:pt idx="5">
                    <c:v>3466-21</c:v>
                  </c:pt>
                  <c:pt idx="6">
                    <c:v>3826-21</c:v>
                  </c:pt>
                  <c:pt idx="7">
                    <c:v>4133-21</c:v>
                  </c:pt>
                  <c:pt idx="8">
                    <c:v>4395-21</c:v>
                  </c:pt>
                  <c:pt idx="9">
                    <c:v>10537-20</c:v>
                  </c:pt>
                  <c:pt idx="10">
                    <c:v>0383-21</c:v>
                  </c:pt>
                  <c:pt idx="11">
                    <c:v>0384-21</c:v>
                  </c:pt>
                  <c:pt idx="12">
                    <c:v>0383-21</c:v>
                  </c:pt>
                  <c:pt idx="13">
                    <c:v>0384-21</c:v>
                  </c:pt>
                  <c:pt idx="14">
                    <c:v>3566-21</c:v>
                  </c:pt>
                  <c:pt idx="15">
                    <c:v>4301-21</c:v>
                  </c:pt>
                  <c:pt idx="16">
                    <c:v>4497-21</c:v>
                  </c:pt>
                  <c:pt idx="17">
                    <c:v>1525-21</c:v>
                  </c:pt>
                  <c:pt idx="18">
                    <c:v>2573-21</c:v>
                  </c:pt>
                  <c:pt idx="19">
                    <c:v>3405-21</c:v>
                  </c:pt>
                  <c:pt idx="20">
                    <c:v>4673-21</c:v>
                  </c:pt>
                  <c:pt idx="21">
                    <c:v>1563-21</c:v>
                  </c:pt>
                  <c:pt idx="22">
                    <c:v>2215-21</c:v>
                  </c:pt>
                  <c:pt idx="23">
                    <c:v>2216-21</c:v>
                  </c:pt>
                  <c:pt idx="24">
                    <c:v>2444-21</c:v>
                  </c:pt>
                  <c:pt idx="25">
                    <c:v>2443-21</c:v>
                  </c:pt>
                  <c:pt idx="26">
                    <c:v>2333-21</c:v>
                  </c:pt>
                  <c:pt idx="27">
                    <c:v>2785-21</c:v>
                  </c:pt>
                  <c:pt idx="28">
                    <c:v>4300-21</c:v>
                  </c:pt>
                  <c:pt idx="29">
                    <c:v>3405-21</c:v>
                  </c:pt>
                </c:lvl>
                <c:lvl>
                  <c:pt idx="0">
                    <c:v>2021-01-18</c:v>
                  </c:pt>
                  <c:pt idx="1">
                    <c:v>2021-02-11</c:v>
                  </c:pt>
                  <c:pt idx="2">
                    <c:v>2021-02-11</c:v>
                  </c:pt>
                  <c:pt idx="3">
                    <c:v>2021-03-13</c:v>
                  </c:pt>
                  <c:pt idx="4">
                    <c:v>2021-03-17</c:v>
                  </c:pt>
                  <c:pt idx="5">
                    <c:v>2021-04-14</c:v>
                  </c:pt>
                  <c:pt idx="6">
                    <c:v>2021-04-20</c:v>
                  </c:pt>
                  <c:pt idx="7">
                    <c:v>2021-04-29</c:v>
                  </c:pt>
                  <c:pt idx="8">
                    <c:v>2021-05-03</c:v>
                  </c:pt>
                  <c:pt idx="9">
                    <c:v>2021-12-30</c:v>
                  </c:pt>
                  <c:pt idx="10">
                    <c:v>2021-01-22</c:v>
                  </c:pt>
                  <c:pt idx="11">
                    <c:v>2021-01-22</c:v>
                  </c:pt>
                  <c:pt idx="12">
                    <c:v>2021-01-28</c:v>
                  </c:pt>
                  <c:pt idx="13">
                    <c:v>2021-01-28</c:v>
                  </c:pt>
                  <c:pt idx="14">
                    <c:v>2021-04-14</c:v>
                  </c:pt>
                  <c:pt idx="15">
                    <c:v>2021-05-03</c:v>
                  </c:pt>
                  <c:pt idx="16">
                    <c:v>2021-05-11</c:v>
                  </c:pt>
                  <c:pt idx="17">
                    <c:v>2021-03-02</c:v>
                  </c:pt>
                  <c:pt idx="18">
                    <c:v>2021-03-24</c:v>
                  </c:pt>
                  <c:pt idx="19">
                    <c:v>2021-04-14</c:v>
                  </c:pt>
                  <c:pt idx="20">
                    <c:v>2021-05-11</c:v>
                  </c:pt>
                  <c:pt idx="21">
                    <c:v>2021-03-02</c:v>
                  </c:pt>
                  <c:pt idx="22">
                    <c:v>2021-03-13</c:v>
                  </c:pt>
                  <c:pt idx="23">
                    <c:v>2021-03-17</c:v>
                  </c:pt>
                  <c:pt idx="24">
                    <c:v>2021-03-24</c:v>
                  </c:pt>
                  <c:pt idx="25">
                    <c:v>2021-04-03</c:v>
                  </c:pt>
                  <c:pt idx="26">
                    <c:v>2021-03-20</c:v>
                  </c:pt>
                  <c:pt idx="27">
                    <c:v>2021-03-24</c:v>
                  </c:pt>
                  <c:pt idx="28">
                    <c:v>2021-05-03</c:v>
                  </c:pt>
                  <c:pt idx="29">
                    <c:v>2021-04-20</c:v>
                  </c:pt>
                </c:lvl>
              </c:multiLvlStrCache>
            </c:multiLvlStrRef>
          </c:cat>
          <c:val>
            <c:numRef>
              <c:f>PRECISION!$F$3:$F$32</c:f>
              <c:numCache>
                <c:formatCode>0.0%</c:formatCode>
                <c:ptCount val="30"/>
                <c:pt idx="0">
                  <c:v>0.32366259580601597</c:v>
                </c:pt>
                <c:pt idx="1">
                  <c:v>0.32366259580601597</c:v>
                </c:pt>
                <c:pt idx="2">
                  <c:v>0.32366259580601597</c:v>
                </c:pt>
                <c:pt idx="3">
                  <c:v>0.32366259580601597</c:v>
                </c:pt>
                <c:pt idx="4">
                  <c:v>0.32366259580601597</c:v>
                </c:pt>
                <c:pt idx="5">
                  <c:v>0.32366259580601597</c:v>
                </c:pt>
                <c:pt idx="6">
                  <c:v>0.32366259580601597</c:v>
                </c:pt>
                <c:pt idx="7">
                  <c:v>0.32366259580601597</c:v>
                </c:pt>
                <c:pt idx="8">
                  <c:v>0.32366259580601597</c:v>
                </c:pt>
                <c:pt idx="9">
                  <c:v>0.32366259580601597</c:v>
                </c:pt>
                <c:pt idx="10">
                  <c:v>0.342830498071653</c:v>
                </c:pt>
                <c:pt idx="11">
                  <c:v>0.342830498071653</c:v>
                </c:pt>
                <c:pt idx="12">
                  <c:v>0.342830498071653</c:v>
                </c:pt>
                <c:pt idx="13">
                  <c:v>0.342830498071653</c:v>
                </c:pt>
                <c:pt idx="14">
                  <c:v>0.342830498071653</c:v>
                </c:pt>
                <c:pt idx="15">
                  <c:v>0.342830498071653</c:v>
                </c:pt>
                <c:pt idx="16">
                  <c:v>0.342830498071653</c:v>
                </c:pt>
                <c:pt idx="17">
                  <c:v>5.07591594229009E-2</c:v>
                </c:pt>
                <c:pt idx="18">
                  <c:v>0.232160361821935</c:v>
                </c:pt>
                <c:pt idx="19">
                  <c:v>0.232160361821935</c:v>
                </c:pt>
                <c:pt idx="20">
                  <c:v>0.232160361821935</c:v>
                </c:pt>
                <c:pt idx="22">
                  <c:v>0.16871469852761001</c:v>
                </c:pt>
                <c:pt idx="23">
                  <c:v>0.16871469852761001</c:v>
                </c:pt>
                <c:pt idx="24">
                  <c:v>0.16871469852761001</c:v>
                </c:pt>
                <c:pt idx="25">
                  <c:v>0.16871469852761001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9EC-47F9-8B61-E99D610546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90547456"/>
        <c:axId val="1590530400"/>
      </c:lineChart>
      <c:catAx>
        <c:axId val="15905474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590530400"/>
        <c:crosses val="autoZero"/>
        <c:auto val="1"/>
        <c:lblAlgn val="ctr"/>
        <c:lblOffset val="100"/>
        <c:noMultiLvlLbl val="0"/>
      </c:catAx>
      <c:valAx>
        <c:axId val="15905304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5905474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Transmitancia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name>10</c:nam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og"/>
            <c:dispRSqr val="1"/>
            <c:dispEq val="1"/>
            <c:trendlineLbl>
              <c:layout>
                <c:manualLayout>
                  <c:x val="-0.37153083989501312"/>
                  <c:y val="-2.8919145523476231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</c:trendlineLbl>
          </c:trendline>
          <c:xVal>
            <c:numLit>
              <c:formatCode>General</c:formatCode>
              <c:ptCount val="6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</c:numLit>
          </c:xVal>
          <c:yVal>
            <c:numRef>
              <c:f>'Curva Fósforo'!$B$7:$B$12</c:f>
              <c:numCache>
                <c:formatCode>General</c:formatCode>
                <c:ptCount val="6"/>
                <c:pt idx="0">
                  <c:v>80.5</c:v>
                </c:pt>
                <c:pt idx="1">
                  <c:v>37.1</c:v>
                </c:pt>
                <c:pt idx="2">
                  <c:v>18.600000000000001</c:v>
                </c:pt>
                <c:pt idx="3">
                  <c:v>14.5</c:v>
                </c:pt>
                <c:pt idx="4">
                  <c:v>10.6</c:v>
                </c:pt>
                <c:pt idx="5">
                  <c:v>4.72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CBC-4F81-A754-B48A1ACD86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4054912"/>
        <c:axId val="54056832"/>
      </c:scatterChart>
      <c:valAx>
        <c:axId val="5405491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Concentracón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4056832"/>
        <c:crosses val="autoZero"/>
        <c:crossBetween val="midCat"/>
      </c:valAx>
      <c:valAx>
        <c:axId val="54056832"/>
        <c:scaling>
          <c:logBase val="10"/>
          <c:orientation val="minMax"/>
        </c:scaling>
        <c:delete val="0"/>
        <c:axPos val="l"/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%Transmitancia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405491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Absorbancia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1.6030839895013124E-2"/>
                  <c:y val="-0.13930555555555554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</c:trendlineLbl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'Curva Fósforo'!$A$7:$A$12</c:f>
              <c:numCache>
                <c:formatCode>General</c:formatCode>
                <c:ptCount val="6"/>
                <c:pt idx="0">
                  <c:v>0.1</c:v>
                </c:pt>
                <c:pt idx="1">
                  <c:v>0.5</c:v>
                </c:pt>
                <c:pt idx="2">
                  <c:v>0.8</c:v>
                </c:pt>
                <c:pt idx="3">
                  <c:v>1</c:v>
                </c:pt>
                <c:pt idx="4">
                  <c:v>1.2</c:v>
                </c:pt>
                <c:pt idx="5">
                  <c:v>1.5</c:v>
                </c:pt>
              </c:numCache>
            </c:numRef>
          </c:xVal>
          <c:yVal>
            <c:numRef>
              <c:f>'Curva Fósforo'!$C$7:$C$12</c:f>
              <c:numCache>
                <c:formatCode>General</c:formatCode>
                <c:ptCount val="6"/>
                <c:pt idx="0">
                  <c:v>9.4204119632131489E-2</c:v>
                </c:pt>
                <c:pt idx="1">
                  <c:v>0.43062609038495414</c:v>
                </c:pt>
                <c:pt idx="2">
                  <c:v>0.73048705578208373</c:v>
                </c:pt>
                <c:pt idx="3">
                  <c:v>0.83863199776502517</c:v>
                </c:pt>
                <c:pt idx="4">
                  <c:v>0.97469413473522981</c:v>
                </c:pt>
                <c:pt idx="5">
                  <c:v>1.3260580013659122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05B-4A2C-9826-4B1A5354C0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9408000"/>
        <c:axId val="39409920"/>
      </c:scatterChart>
      <c:valAx>
        <c:axId val="3940800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Concentración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9409920"/>
        <c:crosses val="autoZero"/>
        <c:crossBetween val="midCat"/>
      </c:valAx>
      <c:valAx>
        <c:axId val="394099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Absorbancia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940800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Transmitancia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name>10</c:nam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og"/>
            <c:dispRSqr val="1"/>
            <c:dispEq val="1"/>
            <c:trendlineLbl>
              <c:layout>
                <c:manualLayout>
                  <c:x val="-0.37153083989501312"/>
                  <c:y val="-2.8919145523476231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</c:trendlineLbl>
          </c:trendline>
          <c:xVal>
            <c:numRef>
              <c:f>'Curva Fósforo'!$A$24:$A$29</c:f>
              <c:numCache>
                <c:formatCode>General</c:formatCode>
                <c:ptCount val="6"/>
                <c:pt idx="0">
                  <c:v>0.1</c:v>
                </c:pt>
                <c:pt idx="1">
                  <c:v>0.5</c:v>
                </c:pt>
                <c:pt idx="2">
                  <c:v>0.8</c:v>
                </c:pt>
                <c:pt idx="3">
                  <c:v>1</c:v>
                </c:pt>
                <c:pt idx="4">
                  <c:v>1.2</c:v>
                </c:pt>
                <c:pt idx="5">
                  <c:v>1.5</c:v>
                </c:pt>
              </c:numCache>
            </c:numRef>
          </c:xVal>
          <c:yVal>
            <c:numRef>
              <c:f>'Curva Fósforo'!$B$24:$B$29</c:f>
              <c:numCache>
                <c:formatCode>General</c:formatCode>
                <c:ptCount val="6"/>
                <c:pt idx="0">
                  <c:v>82.7</c:v>
                </c:pt>
                <c:pt idx="1">
                  <c:v>37.5</c:v>
                </c:pt>
                <c:pt idx="2">
                  <c:v>20.7</c:v>
                </c:pt>
                <c:pt idx="3">
                  <c:v>14.5</c:v>
                </c:pt>
                <c:pt idx="4">
                  <c:v>9.65</c:v>
                </c:pt>
                <c:pt idx="5">
                  <c:v>4.87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347-46EE-9709-F39933BF62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6477952"/>
        <c:axId val="116479872"/>
      </c:scatterChart>
      <c:valAx>
        <c:axId val="1164779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Concentracón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16479872"/>
        <c:crosses val="autoZero"/>
        <c:crossBetween val="midCat"/>
      </c:valAx>
      <c:valAx>
        <c:axId val="116479872"/>
        <c:scaling>
          <c:logBase val="10"/>
          <c:orientation val="minMax"/>
        </c:scaling>
        <c:delete val="0"/>
        <c:axPos val="l"/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%Transmitancia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1647795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Absorbancia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1.6030839895013124E-2"/>
                  <c:y val="-0.13930555555555554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</c:trendlineLbl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'Curva Fósforo'!$A$24:$A$29</c:f>
              <c:numCache>
                <c:formatCode>General</c:formatCode>
                <c:ptCount val="6"/>
                <c:pt idx="0">
                  <c:v>0.1</c:v>
                </c:pt>
                <c:pt idx="1">
                  <c:v>0.5</c:v>
                </c:pt>
                <c:pt idx="2">
                  <c:v>0.8</c:v>
                </c:pt>
                <c:pt idx="3">
                  <c:v>1</c:v>
                </c:pt>
                <c:pt idx="4">
                  <c:v>1.2</c:v>
                </c:pt>
                <c:pt idx="5">
                  <c:v>1.5</c:v>
                </c:pt>
              </c:numCache>
            </c:numRef>
          </c:xVal>
          <c:yVal>
            <c:numRef>
              <c:f>'Curva Fósforo'!$C$24:$C$29</c:f>
              <c:numCache>
                <c:formatCode>General</c:formatCode>
                <c:ptCount val="6"/>
                <c:pt idx="0">
                  <c:v>8.2494490447453384E-2</c:v>
                </c:pt>
                <c:pt idx="1">
                  <c:v>0.42596873227228116</c:v>
                </c:pt>
                <c:pt idx="2">
                  <c:v>0.68402965454308218</c:v>
                </c:pt>
                <c:pt idx="3">
                  <c:v>0.83863199776502517</c:v>
                </c:pt>
                <c:pt idx="4">
                  <c:v>1.0154726866562074</c:v>
                </c:pt>
                <c:pt idx="5">
                  <c:v>1.3124710387853655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58F8-4AD1-9E14-DE44998C41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5361920"/>
        <c:axId val="55363840"/>
      </c:scatterChart>
      <c:valAx>
        <c:axId val="5536192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Concentración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5363840"/>
        <c:crosses val="autoZero"/>
        <c:crossBetween val="midCat"/>
      </c:valAx>
      <c:valAx>
        <c:axId val="553638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Absorbancia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536192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sz="1200"/>
              <a:t>Transmitancia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name>10</c:nam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og"/>
            <c:dispRSqr val="1"/>
            <c:dispEq val="1"/>
            <c:trendlineLbl>
              <c:layout>
                <c:manualLayout>
                  <c:x val="9.511785541370435E-2"/>
                  <c:y val="-0.37140659037053569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</c:trendlineLbl>
          </c:trendline>
          <c:xVal>
            <c:numRef>
              <c:f>'Curva Fósforo'!$A$39:$A$44</c:f>
              <c:numCache>
                <c:formatCode>General</c:formatCode>
                <c:ptCount val="6"/>
                <c:pt idx="0">
                  <c:v>0.1</c:v>
                </c:pt>
                <c:pt idx="1">
                  <c:v>0.5</c:v>
                </c:pt>
                <c:pt idx="2">
                  <c:v>0.8</c:v>
                </c:pt>
                <c:pt idx="3">
                  <c:v>1</c:v>
                </c:pt>
                <c:pt idx="4">
                  <c:v>1.2</c:v>
                </c:pt>
                <c:pt idx="5">
                  <c:v>1.5</c:v>
                </c:pt>
              </c:numCache>
            </c:numRef>
          </c:xVal>
          <c:yVal>
            <c:numRef>
              <c:f>'Curva Fósforo'!$B$39:$B$44</c:f>
              <c:numCache>
                <c:formatCode>General</c:formatCode>
                <c:ptCount val="6"/>
                <c:pt idx="0">
                  <c:v>90.8</c:v>
                </c:pt>
                <c:pt idx="1">
                  <c:v>40.1</c:v>
                </c:pt>
                <c:pt idx="2">
                  <c:v>23.1</c:v>
                </c:pt>
                <c:pt idx="3">
                  <c:v>15.5</c:v>
                </c:pt>
                <c:pt idx="4">
                  <c:v>10.1</c:v>
                </c:pt>
                <c:pt idx="5">
                  <c:v>5.15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EEC-4729-B855-CF81F5CE48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5395840"/>
        <c:axId val="55397760"/>
      </c:scatterChart>
      <c:valAx>
        <c:axId val="5539584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Concentracón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5397760"/>
        <c:crosses val="autoZero"/>
        <c:crossBetween val="midCat"/>
      </c:valAx>
      <c:valAx>
        <c:axId val="55397760"/>
        <c:scaling>
          <c:logBase val="10"/>
          <c:orientation val="minMax"/>
        </c:scaling>
        <c:delete val="0"/>
        <c:axPos val="l"/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%Transmitancia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539584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sz="1200"/>
              <a:t>Absorbancia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24120929328278409"/>
                  <c:y val="7.2289156626506026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</c:trendlineLbl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'Curva Fósforo'!$A$39:$A$44</c:f>
              <c:numCache>
                <c:formatCode>General</c:formatCode>
                <c:ptCount val="6"/>
                <c:pt idx="0">
                  <c:v>0.1</c:v>
                </c:pt>
                <c:pt idx="1">
                  <c:v>0.5</c:v>
                </c:pt>
                <c:pt idx="2">
                  <c:v>0.8</c:v>
                </c:pt>
                <c:pt idx="3">
                  <c:v>1</c:v>
                </c:pt>
                <c:pt idx="4">
                  <c:v>1.2</c:v>
                </c:pt>
                <c:pt idx="5">
                  <c:v>1.5</c:v>
                </c:pt>
              </c:numCache>
            </c:numRef>
          </c:xVal>
          <c:yVal>
            <c:numRef>
              <c:f>'Curva Fósforo'!$C$39:$C$44</c:f>
              <c:numCache>
                <c:formatCode>General</c:formatCode>
                <c:ptCount val="6"/>
                <c:pt idx="0">
                  <c:v>4.1914151478914974E-2</c:v>
                </c:pt>
                <c:pt idx="1">
                  <c:v>0.39685562737981761</c:v>
                </c:pt>
                <c:pt idx="2">
                  <c:v>0.63638802010785556</c:v>
                </c:pt>
                <c:pt idx="3">
                  <c:v>0.80966830182970861</c:v>
                </c:pt>
                <c:pt idx="4">
                  <c:v>0.99567862621735737</c:v>
                </c:pt>
                <c:pt idx="5">
                  <c:v>1.2881927709588088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2B31-4A9C-AEBB-462CF888FD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5453952"/>
        <c:axId val="55460224"/>
      </c:scatterChart>
      <c:valAx>
        <c:axId val="554539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Concentración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5460224"/>
        <c:crosses val="autoZero"/>
        <c:crossBetween val="midCat"/>
      </c:valAx>
      <c:valAx>
        <c:axId val="55460224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Absorbancia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545395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sz="1200"/>
              <a:t>Transmitancia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name>10</c:nam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og"/>
            <c:dispRSqr val="1"/>
            <c:dispEq val="1"/>
            <c:trendlineLbl>
              <c:layout>
                <c:manualLayout>
                  <c:x val="9.511785541370435E-2"/>
                  <c:y val="-0.37140659037053569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</c:trendlineLbl>
          </c:trendline>
          <c:xVal>
            <c:numRef>
              <c:f>'Curva Fósforo'!$A$72:$A$75</c:f>
              <c:numCache>
                <c:formatCode>General</c:formatCode>
                <c:ptCount val="4"/>
                <c:pt idx="0">
                  <c:v>0.5</c:v>
                </c:pt>
                <c:pt idx="1">
                  <c:v>0.8</c:v>
                </c:pt>
                <c:pt idx="2">
                  <c:v>1.2</c:v>
                </c:pt>
                <c:pt idx="3">
                  <c:v>1.5</c:v>
                </c:pt>
              </c:numCache>
            </c:numRef>
          </c:xVal>
          <c:yVal>
            <c:numRef>
              <c:f>'Curva Fósforo'!$B$72:$B$75</c:f>
              <c:numCache>
                <c:formatCode>General</c:formatCode>
                <c:ptCount val="4"/>
                <c:pt idx="0">
                  <c:v>35.799999999999997</c:v>
                </c:pt>
                <c:pt idx="1">
                  <c:v>20.5</c:v>
                </c:pt>
                <c:pt idx="2">
                  <c:v>8.9499999999999993</c:v>
                </c:pt>
                <c:pt idx="3">
                  <c:v>4.67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971-4E34-9330-D6B1365FC1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5510912"/>
        <c:axId val="55517184"/>
      </c:scatterChart>
      <c:valAx>
        <c:axId val="5551091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Concentracón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5517184"/>
        <c:crosses val="autoZero"/>
        <c:crossBetween val="midCat"/>
      </c:valAx>
      <c:valAx>
        <c:axId val="55517184"/>
        <c:scaling>
          <c:logBase val="10"/>
          <c:orientation val="minMax"/>
        </c:scaling>
        <c:delete val="0"/>
        <c:axPos val="l"/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%Transmitancia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551091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47E145D5-2E0A-41A8-8F29-DBBE9A9040D0}">
  <sheetPr/>
  <sheetViews>
    <sheetView zoomScale="88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0.xml"/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10" Type="http://schemas.openxmlformats.org/officeDocument/2006/relationships/chart" Target="../charts/chart12.xml"/><Relationship Id="rId4" Type="http://schemas.openxmlformats.org/officeDocument/2006/relationships/chart" Target="../charts/chart6.xml"/><Relationship Id="rId9" Type="http://schemas.openxmlformats.org/officeDocument/2006/relationships/chart" Target="../charts/chart11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gi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</xdr:colOff>
      <xdr:row>0</xdr:row>
      <xdr:rowOff>146447</xdr:rowOff>
    </xdr:from>
    <xdr:ext cx="1457325" cy="364331"/>
    <xdr:pic>
      <xdr:nvPicPr>
        <xdr:cNvPr id="2" name="image1.gif">
          <a:extLst>
            <a:ext uri="{FF2B5EF4-FFF2-40B4-BE49-F238E27FC236}">
              <a16:creationId xmlns:a16="http://schemas.microsoft.com/office/drawing/2014/main" id="{7455626A-1C79-40EE-9DE8-04F33B7E1013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50" y="146447"/>
          <a:ext cx="1457325" cy="364331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5</xdr:col>
      <xdr:colOff>361950</xdr:colOff>
      <xdr:row>14</xdr:row>
      <xdr:rowOff>95250</xdr:rowOff>
    </xdr:from>
    <xdr:to>
      <xdr:col>5</xdr:col>
      <xdr:colOff>1438275</xdr:colOff>
      <xdr:row>14</xdr:row>
      <xdr:rowOff>400873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427D855-AFDE-4915-8ECF-575CD4F647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43675" y="3190875"/>
          <a:ext cx="1076325" cy="3056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304800</xdr:colOff>
      <xdr:row>15</xdr:row>
      <xdr:rowOff>114300</xdr:rowOff>
    </xdr:from>
    <xdr:to>
      <xdr:col>5</xdr:col>
      <xdr:colOff>1381125</xdr:colOff>
      <xdr:row>15</xdr:row>
      <xdr:rowOff>419923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AA88BF7-566B-4C35-AD71-B8C30A1459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86525" y="3743325"/>
          <a:ext cx="1076325" cy="3056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114300</xdr:colOff>
      <xdr:row>13</xdr:row>
      <xdr:rowOff>9525</xdr:rowOff>
    </xdr:from>
    <xdr:to>
      <xdr:col>5</xdr:col>
      <xdr:colOff>1600200</xdr:colOff>
      <xdr:row>13</xdr:row>
      <xdr:rowOff>485775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46F7B669-9790-4BF6-877F-D039EB188D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96025" y="2600325"/>
          <a:ext cx="1485900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327146</xdr:colOff>
      <xdr:row>7</xdr:row>
      <xdr:rowOff>40297</xdr:rowOff>
    </xdr:from>
    <xdr:to>
      <xdr:col>7</xdr:col>
      <xdr:colOff>1371599</xdr:colOff>
      <xdr:row>14</xdr:row>
      <xdr:rowOff>200024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D25BF4BE-BFE8-45A0-9872-C117141808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0</xdr:colOff>
      <xdr:row>0</xdr:row>
      <xdr:rowOff>79380</xdr:rowOff>
    </xdr:from>
    <xdr:ext cx="2263490" cy="565872"/>
    <xdr:pic>
      <xdr:nvPicPr>
        <xdr:cNvPr id="7" name="Imagen 6">
          <a:extLst>
            <a:ext uri="{FF2B5EF4-FFF2-40B4-BE49-F238E27FC236}">
              <a16:creationId xmlns:a16="http://schemas.microsoft.com/office/drawing/2014/main" id="{7DCBD845-99EC-41FC-9F34-37ED6ECDE2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79380"/>
          <a:ext cx="2263490" cy="565872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302074" cy="6069654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8B56A41-4688-45CF-B8B2-98C17351B661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94317</xdr:colOff>
      <xdr:row>0</xdr:row>
      <xdr:rowOff>135590</xdr:rowOff>
    </xdr:from>
    <xdr:to>
      <xdr:col>1</xdr:col>
      <xdr:colOff>439270</xdr:colOff>
      <xdr:row>2</xdr:row>
      <xdr:rowOff>102533</xdr:rowOff>
    </xdr:to>
    <xdr:pic>
      <xdr:nvPicPr>
        <xdr:cNvPr id="4" name="2 Imagen" descr="logo aoxlab">
          <a:extLst>
            <a:ext uri="{FF2B5EF4-FFF2-40B4-BE49-F238E27FC236}">
              <a16:creationId xmlns:a16="http://schemas.microsoft.com/office/drawing/2014/main" id="{F38AE1EE-AFE3-42C3-B5BC-09733DE7989F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317" y="135590"/>
          <a:ext cx="1183153" cy="391086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94317</xdr:colOff>
      <xdr:row>0</xdr:row>
      <xdr:rowOff>135590</xdr:rowOff>
    </xdr:from>
    <xdr:to>
      <xdr:col>1</xdr:col>
      <xdr:colOff>439270</xdr:colOff>
      <xdr:row>2</xdr:row>
      <xdr:rowOff>104214</xdr:rowOff>
    </xdr:to>
    <xdr:pic>
      <xdr:nvPicPr>
        <xdr:cNvPr id="3" name="2 Imagen" descr="logo aoxlab">
          <a:extLst>
            <a:ext uri="{FF2B5EF4-FFF2-40B4-BE49-F238E27FC236}">
              <a16:creationId xmlns:a16="http://schemas.microsoft.com/office/drawing/2014/main" id="{45CCC9A7-F891-421C-8B58-E5BB76F7B84D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317" y="135590"/>
          <a:ext cx="1183153" cy="387724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66676</xdr:colOff>
      <xdr:row>0</xdr:row>
      <xdr:rowOff>28574</xdr:rowOff>
    </xdr:from>
    <xdr:to>
      <xdr:col>1</xdr:col>
      <xdr:colOff>425451</xdr:colOff>
      <xdr:row>2</xdr:row>
      <xdr:rowOff>174624</xdr:rowOff>
    </xdr:to>
    <xdr:pic>
      <xdr:nvPicPr>
        <xdr:cNvPr id="2" name="2 Imagen" descr="logo aoxlab">
          <a:extLst>
            <a:ext uri="{FF2B5EF4-FFF2-40B4-BE49-F238E27FC236}">
              <a16:creationId xmlns:a16="http://schemas.microsoft.com/office/drawing/2014/main" id="{60AFBC5E-409E-47DC-A241-585409C383B3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6" y="28574"/>
          <a:ext cx="1371600" cy="581025"/>
        </a:xfrm>
        <a:prstGeom prst="rect">
          <a:avLst/>
        </a:prstGeom>
        <a:noFill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15876</xdr:colOff>
      <xdr:row>0</xdr:row>
      <xdr:rowOff>57149</xdr:rowOff>
    </xdr:from>
    <xdr:to>
      <xdr:col>1</xdr:col>
      <xdr:colOff>260557</xdr:colOff>
      <xdr:row>2</xdr:row>
      <xdr:rowOff>167367</xdr:rowOff>
    </xdr:to>
    <xdr:pic>
      <xdr:nvPicPr>
        <xdr:cNvPr id="3" name="2 Imagen" descr="logo aoxlab">
          <a:extLst>
            <a:ext uri="{FF2B5EF4-FFF2-40B4-BE49-F238E27FC236}">
              <a16:creationId xmlns:a16="http://schemas.microsoft.com/office/drawing/2014/main" id="{F4B88685-C612-4A5D-8C0A-0E5A25AF7A9B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6" y="57149"/>
          <a:ext cx="1371600" cy="547158"/>
        </a:xfrm>
        <a:prstGeom prst="rect">
          <a:avLst/>
        </a:prstGeom>
        <a:noFill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</xdr:colOff>
      <xdr:row>0</xdr:row>
      <xdr:rowOff>0</xdr:rowOff>
    </xdr:from>
    <xdr:to>
      <xdr:col>8</xdr:col>
      <xdr:colOff>428625</xdr:colOff>
      <xdr:row>14</xdr:row>
      <xdr:rowOff>76200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5AF3B831-739A-46AD-816D-5016AD46AA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0</xdr:row>
      <xdr:rowOff>0</xdr:rowOff>
    </xdr:from>
    <xdr:to>
      <xdr:col>15</xdr:col>
      <xdr:colOff>0</xdr:colOff>
      <xdr:row>14</xdr:row>
      <xdr:rowOff>76200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C758F00D-57A8-4BF0-B36F-6B895204C2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428625</xdr:colOff>
      <xdr:row>17</xdr:row>
      <xdr:rowOff>0</xdr:rowOff>
    </xdr:from>
    <xdr:to>
      <xdr:col>8</xdr:col>
      <xdr:colOff>428625</xdr:colOff>
      <xdr:row>31</xdr:row>
      <xdr:rowOff>76200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AC49C1EE-C89E-4A86-88DB-1782642101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0</xdr:colOff>
      <xdr:row>17</xdr:row>
      <xdr:rowOff>0</xdr:rowOff>
    </xdr:from>
    <xdr:to>
      <xdr:col>15</xdr:col>
      <xdr:colOff>0</xdr:colOff>
      <xdr:row>31</xdr:row>
      <xdr:rowOff>76200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A062BB2-8C61-48A6-82C3-8DC4355209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44</xdr:row>
      <xdr:rowOff>152399</xdr:rowOff>
    </xdr:from>
    <xdr:to>
      <xdr:col>3</xdr:col>
      <xdr:colOff>400049</xdr:colOff>
      <xdr:row>57</xdr:row>
      <xdr:rowOff>95250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F2C21975-EF0A-46D7-BF08-42351B49E5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</xdr:col>
      <xdr:colOff>619125</xdr:colOff>
      <xdr:row>44</xdr:row>
      <xdr:rowOff>180975</xdr:rowOff>
    </xdr:from>
    <xdr:to>
      <xdr:col>7</xdr:col>
      <xdr:colOff>647699</xdr:colOff>
      <xdr:row>57</xdr:row>
      <xdr:rowOff>66674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78B25CEB-8A28-4E4C-B74D-694D9187B3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75</xdr:row>
      <xdr:rowOff>152399</xdr:rowOff>
    </xdr:from>
    <xdr:to>
      <xdr:col>3</xdr:col>
      <xdr:colOff>400049</xdr:colOff>
      <xdr:row>88</xdr:row>
      <xdr:rowOff>95250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489C6101-DA86-4BA9-9EE0-22E1F7CA6B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</xdr:col>
      <xdr:colOff>619125</xdr:colOff>
      <xdr:row>75</xdr:row>
      <xdr:rowOff>180975</xdr:rowOff>
    </xdr:from>
    <xdr:to>
      <xdr:col>7</xdr:col>
      <xdr:colOff>647699</xdr:colOff>
      <xdr:row>88</xdr:row>
      <xdr:rowOff>66674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288ECADC-2F40-4293-816B-9E6F5EC5DA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</xdr:col>
      <xdr:colOff>257175</xdr:colOff>
      <xdr:row>97</xdr:row>
      <xdr:rowOff>128587</xdr:rowOff>
    </xdr:from>
    <xdr:to>
      <xdr:col>10</xdr:col>
      <xdr:colOff>161925</xdr:colOff>
      <xdr:row>110</xdr:row>
      <xdr:rowOff>76200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66FF428B-17F2-4B8B-BA83-73B3C20901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</xdr:col>
      <xdr:colOff>361950</xdr:colOff>
      <xdr:row>112</xdr:row>
      <xdr:rowOff>71437</xdr:rowOff>
    </xdr:from>
    <xdr:to>
      <xdr:col>10</xdr:col>
      <xdr:colOff>190500</xdr:colOff>
      <xdr:row>126</xdr:row>
      <xdr:rowOff>147637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A306FCAE-3FA4-46CC-B76F-B2B957BB9C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38101</xdr:colOff>
      <xdr:row>0</xdr:row>
      <xdr:rowOff>28574</xdr:rowOff>
    </xdr:from>
    <xdr:to>
      <xdr:col>1</xdr:col>
      <xdr:colOff>600076</xdr:colOff>
      <xdr:row>2</xdr:row>
      <xdr:rowOff>200024</xdr:rowOff>
    </xdr:to>
    <xdr:pic>
      <xdr:nvPicPr>
        <xdr:cNvPr id="2" name="2 Imagen" descr="logo aoxlab">
          <a:extLst>
            <a:ext uri="{FF2B5EF4-FFF2-40B4-BE49-F238E27FC236}">
              <a16:creationId xmlns:a16="http://schemas.microsoft.com/office/drawing/2014/main" id="{E6CF1502-D614-4023-A0DB-9E5000330BD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28574"/>
          <a:ext cx="1371600" cy="581025"/>
        </a:xfrm>
        <a:prstGeom prst="rect">
          <a:avLst/>
        </a:prstGeom>
        <a:noFill/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66676</xdr:rowOff>
    </xdr:from>
    <xdr:ext cx="1514475" cy="761999"/>
    <xdr:pic>
      <xdr:nvPicPr>
        <xdr:cNvPr id="2" name="Imagen 1" descr="logo aoxlab.gif">
          <a:extLst>
            <a:ext uri="{FF2B5EF4-FFF2-40B4-BE49-F238E27FC236}">
              <a16:creationId xmlns:a16="http://schemas.microsoft.com/office/drawing/2014/main" id="{00B2AB8E-9E5D-4362-B3BF-E2260BFC9D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6676"/>
          <a:ext cx="1514475" cy="761999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ERENCIA\laboratorio\Dropbox\Personal\Profesional\2018\Asesoria\AOX\CCA\Plantilla%20Protein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REGISTROS\REGISTROS%20RT\Cuadros%20de%20Mando%202018-2\Plantilla%20Humedad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Publico/SGI/7.%20PROCESO/REGISTROS%20AOXLAB/REGISTROS%20(RG)%202018/Lista%20maestra%20documentos/FOR-GC-003%20Formato%20de%20lista%20maestra%20de%20control%20de%20documentos%20V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laurabalca\Dropbox\Min%20Salud\Normogramas\NOR-F01%20Normograma%20201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de mando"/>
      <sheetName val="Preparacion controles"/>
      <sheetName val="Límites Gráficos"/>
      <sheetName val="Tipos de Muestra"/>
      <sheetName val="Grafico R%"/>
      <sheetName val="R%"/>
      <sheetName val="Precision"/>
      <sheetName val="Gráfico Precisión"/>
      <sheetName val="Fuentes globales"/>
      <sheetName val="Plantilla Proteina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ímites Gráfico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</sheetNames>
    <sheetDataSet>
      <sheetData sheetId="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"/>
    </sheetNames>
    <sheetDataSet>
      <sheetData sheetId="0" refreshError="1"/>
    </sheetDataSet>
  </externalBook>
</externalLink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osExternos_1" connectionId="5" xr16:uid="{0F1FF00F-A78E-4296-9576-252A92F950FE}" autoFormatId="16" applyNumberFormats="0" applyBorderFormats="0" applyFontFormats="0" applyPatternFormats="0" applyAlignmentFormats="0" applyWidthHeightFormats="0">
  <queryTableRefresh nextId="10">
    <queryTableFields count="6">
      <queryTableField id="1" name="FECHA" tableColumnId="1"/>
      <queryTableField id="3" name="ID MUESTRA" tableColumnId="3"/>
      <queryTableField id="2" name="MATRIZ" tableColumnId="2"/>
      <queryTableField id="6" name="RPD%" tableColumnId="6"/>
      <queryTableField id="7" name="LIMITE DE ALERTA" tableColumnId="7"/>
      <queryTableField id="8" name="LIMITE DE CONTROL" tableColumnId="8"/>
    </queryTableFields>
  </queryTableRefresh>
</queryTable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C6E86C13-EC41-4E7F-896C-F86CE0ACA5D1}" name="Tabla1" displayName="Tabla1" ref="A17:R247" totalsRowShown="0" headerRowDxfId="23" dataDxfId="22" tableBorderDxfId="28">
  <autoFilter ref="A17:R247" xr:uid="{3131C759-DF70-4DB5-9B5F-F83D995FE13B}"/>
  <tableColumns count="18">
    <tableColumn id="1" xr3:uid="{BF011335-60AC-4B0B-86AA-41E6920E13D6}" name="FECHA" dataDxfId="21"/>
    <tableColumn id="2" xr3:uid="{668A640E-8AA0-4BE8-8DB4-CCD11FF2F08A}" name="MATRIZ" dataDxfId="20"/>
    <tableColumn id="3" xr3:uid="{4E42F210-CA6E-409E-BBAA-3E81DA75F41B}" name="ID MUESTRA" dataDxfId="19"/>
    <tableColumn id="4" xr3:uid="{A9AC6576-1AEA-4A51-ACA1-44C5B7AEB2F9}" name="TIPO MUESTRA" dataDxfId="18"/>
    <tableColumn id="5" xr3:uid="{4263FFB2-5005-49B0-90F7-64D0CCE61702}" name="M1 [g]" dataDxfId="17"/>
    <tableColumn id="6" xr3:uid="{ED34599E-4BFD-46AF-AE51-20C24F91A138}" name="M2 [g]" dataDxfId="16"/>
    <tableColumn id="7" xr3:uid="{7A99B0E6-B6A8-4822-95D2-617E0FBA96DF}" name="M3 [g] PESO CRISOL+MUESTRA (SECA)" dataDxfId="15"/>
    <tableColumn id="8" xr3:uid="{AABF6CA9-C7D7-4FF5-9456-C1233626C6B0}" name="M4 [g]  PESO CRISOL + CENIZAS" dataDxfId="14"/>
    <tableColumn id="17" xr3:uid="{AB6EA0AE-A6D0-438D-8910-4C9A664A7B2E}" name="M5" dataDxfId="13"/>
    <tableColumn id="9" xr3:uid="{1D693EA4-E4CE-4311-A6B2-4B5540058B72}" name="M3-M1-M4-M5" dataDxfId="6">
      <calculatedColumnFormula>IF(OR(ISBLANK(Tabla1[[#This Row],[M3 '[g'] PESO CRISOL+MUESTRA (SECA)]]),ISBLANK(Tabla1[[#This Row],[M1 '[g']]]),ISBLANK(Tabla1[[#This Row],[M4 '[g']  PESO CRISOL + CENIZAS]]),ISBLANK(Tabla1[[#This Row],[M5]])),"",Tabla1[[#This Row],[M3 '[g'] PESO CRISOL+MUESTRA (SECA)]]-Tabla1[[#This Row],[M1 '[g']]]-Tabla1[[#This Row],[M4 '[g']  PESO CRISOL + CENIZAS]]-Tabla1[[#This Row],[M5]])</calculatedColumnFormula>
    </tableColumn>
    <tableColumn id="10" xr3:uid="{CE5FCAC3-CA64-4300-881B-35F6097DB126}" name="%FIBRA TOTAL" dataDxfId="5" dataCellStyle="Porcentaje">
      <calculatedColumnFormula>IF(OR(ISBLANK(Tabla1[[#This Row],[M3 '[g'] PESO CRISOL+MUESTRA (SECA)]]),ISBLANK(Tabla1[[#This Row],[M1 '[g']]]),ISBLANK(Tabla1[[#This Row],[M4 '[g']  PESO CRISOL + CENIZAS]])),"",Tabla1[[#This Row],[M3 '[g'] PESO CRISOL+MUESTRA (SECA)]]-Tabla1[[#This Row],[M1 '[g']]]-Tabla1[[#This Row],[M4 '[g']  PESO CRISOL + CENIZAS]])</calculatedColumnFormula>
    </tableColumn>
    <tableColumn id="11" xr3:uid="{8586DA04-1357-447B-9BBD-C121649823F3}" name="% DE FIBRA CORRECCIÓN DE GRASA" dataDxfId="4" dataCellStyle="Porcentaje">
      <calculatedColumnFormula>IF(ISNUMBER(Tabla1[[#This Row],[%FIBRA TOTAL]]),Tabla1[[#This Row],[%FIBRA TOTAL]]*(100-Tabla1[[#This Row],[%Grasa y/o % humedad En la Muestra g/100g]])/100,"")</calculatedColumnFormula>
    </tableColumn>
    <tableColumn id="12" xr3:uid="{41CE4DB7-BF60-4465-B00B-D3ECAA3238E4}" name="%Grasa y/o % humedad En la Muestra g/100g" dataDxfId="12"/>
    <tableColumn id="13" xr3:uid="{9AAA4774-43C2-4F77-A293-D794F8110BA8}" name="REALIZO" dataDxfId="11"/>
    <tableColumn id="14" xr3:uid="{18787AA6-D04C-44D8-A1AA-A9A23888E9B9}" name="REVISO" dataDxfId="10"/>
    <tableColumn id="18" xr3:uid="{1943771D-50A8-452A-844D-6DB5BB9B2E40}" name="ESTADO" dataDxfId="9"/>
    <tableColumn id="15" xr3:uid="{692FA931-810B-41DE-A269-F8EA655F2356}" name="Trazabilidad" dataDxfId="8"/>
    <tableColumn id="16" xr3:uid="{EF84B9C9-363B-44D2-918A-3F7A97E9708E}" name="Observaciones" dataDxfId="7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F6574A2B-8452-4F2E-AFE1-CEDEE6C06813}" name="PRECISION" displayName="PRECISION" ref="A2:F32" tableType="queryTable" totalsRowShown="0">
  <autoFilter ref="A2:F32" xr:uid="{D74A903F-7E4D-4D10-B571-A09ACE684BE2}"/>
  <tableColumns count="6">
    <tableColumn id="1" xr3:uid="{C0883C6F-8DB8-4BE9-B3E9-206EF8FB6A7E}" uniqueName="1" name="FECHA" queryTableFieldId="1" dataDxfId="27"/>
    <tableColumn id="3" xr3:uid="{73611F87-8610-419C-B446-A7C7812B6FE1}" uniqueName="3" name="ID MUESTRA" queryTableFieldId="3"/>
    <tableColumn id="2" xr3:uid="{2901C3A0-EE31-4D1A-8B70-1BEAEE96583A}" uniqueName="2" name="MATRIZ" queryTableFieldId="2"/>
    <tableColumn id="6" xr3:uid="{7348DC82-F01D-4A61-9469-57CA52A11CDA}" uniqueName="6" name="RPD%" queryTableFieldId="6" dataDxfId="26" dataCellStyle="Porcentaje"/>
    <tableColumn id="7" xr3:uid="{2B19F69D-8A06-4244-92CF-71CA6148962D}" uniqueName="7" name="LIMITE DE ALERTA" queryTableFieldId="7" dataDxfId="25" dataCellStyle="Porcentaje"/>
    <tableColumn id="8" xr3:uid="{D61FEB51-C946-4BE0-AC81-0FBCAD6A0E36}" uniqueName="8" name="LIMITE DE CONTROL" queryTableFieldId="8" dataDxfId="24" dataCellStyle="Porcentaje"/>
  </tableColumns>
  <tableStyleInfo name="TableStyleMedium7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97048D1-72AC-4D2C-A0FA-A56CDC95E834}" name="Tabla2" displayName="Tabla2" ref="I1:I5" totalsRowShown="0">
  <autoFilter ref="I1:I5" xr:uid="{0DBEABC3-94CA-47D8-9A27-F4E0F1C50C21}"/>
  <tableColumns count="1">
    <tableColumn id="1" xr3:uid="{EF1DB743-6ACF-4C6A-86F4-8D22A170EE77}" name="Columna1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414D3D53-8DAE-407B-A832-CA9180F7F63E}" name="Tabla4" displayName="Tabla4" ref="A1:A31" totalsRowShown="0">
  <autoFilter ref="A1:A31" xr:uid="{28F2C4EE-5F0D-4C64-9931-8F6A237FACC2}"/>
  <tableColumns count="1">
    <tableColumn id="1" xr3:uid="{1187DDA9-4F34-47ED-9EC0-F9A2FAA5C0EF}" name="MATRIZ"/>
  </tableColumns>
  <tableStyleInfo name="TableStyleLight10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BA2DACA2-62F7-413E-908C-A14B59C2719C}" name="Tabla3" displayName="Tabla3" ref="A10:D39" totalsRowShown="0" headerRowDxfId="35" headerRowBorderDxfId="34" tableBorderDxfId="33">
  <autoFilter ref="A10:D39" xr:uid="{8B5C2BE7-CD2D-4E84-AD3D-75C711855B58}"/>
  <tableColumns count="4">
    <tableColumn id="1" xr3:uid="{166AE64E-67F6-4E37-9385-061073420559}" name="MATRIZ" dataDxfId="32"/>
    <tableColumn id="2" xr3:uid="{BED60E3E-407B-4712-9CF0-3B72D0A46FFE}" name="LIMITE DE ALERTA" dataDxfId="31" dataCellStyle="Porcentaje">
      <calculatedColumnFormula>AV30</calculatedColumnFormula>
    </tableColumn>
    <tableColumn id="3" xr3:uid="{5BC74B24-0AD4-479B-9BF2-1332155696AF}" name="LIMITE DE CONTROL" dataDxfId="30" dataCellStyle="Porcentaje">
      <calculatedColumnFormula>AV31</calculatedColumnFormula>
    </tableColumn>
    <tableColumn id="4" xr3:uid="{AECD5376-7F8C-4123-926A-73914B7F8213}" name="RPD%" dataDxfId="29" dataCellStyle="Porcentaje"/>
  </tableColumns>
  <tableStyleInfo name="TableStyleMedium2" showFirstColumn="0" showLastColumn="0" showRowStripes="1" showColumnStripes="0"/>
</table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AOXLAB">
  <a:themeElements>
    <a:clrScheme name="AOXLAB">
      <a:dk1>
        <a:srgbClr val="4E4D4F"/>
      </a:dk1>
      <a:lt1>
        <a:sysClr val="window" lastClr="FFFFFF"/>
      </a:lt1>
      <a:dk2>
        <a:srgbClr val="2EA1D4"/>
      </a:dk2>
      <a:lt2>
        <a:srgbClr val="EBEBEB"/>
      </a:lt2>
      <a:accent1>
        <a:srgbClr val="F37728"/>
      </a:accent1>
      <a:accent2>
        <a:srgbClr val="E6C133"/>
      </a:accent2>
      <a:accent3>
        <a:srgbClr val="EF7A24"/>
      </a:accent3>
      <a:accent4>
        <a:srgbClr val="5AA0F5"/>
      </a:accent4>
      <a:accent5>
        <a:srgbClr val="75CEEC"/>
      </a:accent5>
      <a:accent6>
        <a:srgbClr val="65D6A0"/>
      </a:accent6>
      <a:hlink>
        <a:srgbClr val="C4E46E"/>
      </a:hlink>
      <a:folHlink>
        <a:srgbClr val="BDE0FB"/>
      </a:folHlink>
    </a:clrScheme>
    <a:fontScheme name="Sala de reuniones Ion">
      <a:majorFont>
        <a:latin typeface="Century Gothic" panose="020B050202020202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entury Gothic" panose="020B050202020202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Sala de reuniones Ion">
      <a:fillStyleLst>
        <a:solidFill>
          <a:schemeClr val="phClr"/>
        </a:solidFill>
        <a:gradFill rotWithShape="1">
          <a:gsLst>
            <a:gs pos="0">
              <a:schemeClr val="phClr">
                <a:tint val="64000"/>
                <a:lumMod val="118000"/>
              </a:schemeClr>
            </a:gs>
            <a:gs pos="100000">
              <a:schemeClr val="phClr">
                <a:tint val="92000"/>
                <a:alpha val="100000"/>
                <a:lumMod val="11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8000"/>
                <a:lumMod val="114000"/>
              </a:schemeClr>
            </a:gs>
            <a:gs pos="100000">
              <a:schemeClr val="phClr">
                <a:shade val="90000"/>
                <a:lumMod val="84000"/>
              </a:schemeClr>
            </a:gs>
          </a:gsLst>
          <a:lin ang="5400000" scaled="0"/>
        </a:gradFill>
      </a:fillStyleLst>
      <a:lnStyleLst>
        <a:ln w="9525" cap="rnd" cmpd="sng" algn="ctr">
          <a:solidFill>
            <a:schemeClr val="phClr"/>
          </a:solidFill>
          <a:prstDash val="solid"/>
        </a:ln>
        <a:ln w="19050" cap="rnd" cmpd="sng" algn="ctr">
          <a:solidFill>
            <a:schemeClr val="phClr"/>
          </a:solidFill>
          <a:prstDash val="solid"/>
        </a:ln>
        <a:ln w="28575" cap="rnd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5400000" rotWithShape="0">
              <a:srgbClr val="000000">
                <a:alpha val="45000"/>
              </a:srgbClr>
            </a:outerShdw>
          </a:effectLst>
        </a:effectStyle>
        <a:effectStyle>
          <a:effectLst>
            <a:outerShdw blurRad="63500" dist="38100" dir="5400000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threePt" dir="tl"/>
          </a:scene3d>
          <a:sp3d prstMaterial="plastic">
            <a:bevelT w="0" h="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2000"/>
                <a:hueMod val="96000"/>
                <a:satMod val="128000"/>
                <a:lumMod val="114000"/>
              </a:schemeClr>
            </a:gs>
            <a:gs pos="100000">
              <a:schemeClr val="phClr">
                <a:shade val="62000"/>
                <a:hueMod val="100000"/>
                <a:satMod val="134000"/>
                <a:lumMod val="56000"/>
              </a:schemeClr>
            </a:gs>
          </a:gsLst>
          <a:path path="circle">
            <a:fillToRect l="45000" t="65000" r="125000" b="100000"/>
          </a:path>
        </a:gradFill>
        <a:blipFill rotWithShape="1">
          <a:blip xmlns:r="http://schemas.openxmlformats.org/officeDocument/2006/relationships" r:embed="rId1">
            <a:duotone>
              <a:schemeClr val="phClr">
                <a:shade val="62000"/>
                <a:hueMod val="108000"/>
                <a:satMod val="164000"/>
                <a:lumMod val="69000"/>
              </a:schemeClr>
              <a:schemeClr val="phClr">
                <a:tint val="96000"/>
                <a:hueMod val="90000"/>
                <a:satMod val="130000"/>
                <a:lumMod val="134000"/>
              </a:schemeClr>
            </a:duotone>
          </a:blip>
          <a:stretch/>
        </a:blip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AOXLAB" id="{0708C1F8-2C7A-4918-90A2-95C50A632DCA}" vid="{2AFD4DD7-7F35-4E77-86C2-DE81A0C2CC06}"/>
    </a:ext>
  </a:extLst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table" Target="../tables/table3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drawing" Target="../drawings/drawing9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107.190.139.42/~aoxlabsgc/sig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baseColWidth="10" defaultRowHeight="16.5" x14ac:dyDescent="0.3"/>
  <sheetData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217"/>
  <sheetViews>
    <sheetView topLeftCell="A22" workbookViewId="0">
      <selection activeCell="H18" sqref="H18"/>
    </sheetView>
  </sheetViews>
  <sheetFormatPr baseColWidth="10" defaultRowHeight="16.5" x14ac:dyDescent="0.3"/>
  <cols>
    <col min="1" max="1" width="10.625" customWidth="1"/>
    <col min="2" max="2" width="12.5" customWidth="1"/>
    <col min="3" max="3" width="56.625" customWidth="1"/>
    <col min="6" max="6" width="13.875" customWidth="1"/>
    <col min="7" max="7" width="17.75" customWidth="1"/>
    <col min="8" max="8" width="18.625" customWidth="1"/>
    <col min="9" max="9" width="16.875" customWidth="1"/>
    <col min="10" max="10" width="15.75" customWidth="1"/>
    <col min="11" max="11" width="15.75" style="21" customWidth="1"/>
    <col min="12" max="12" width="15.75" customWidth="1"/>
    <col min="13" max="13" width="11.875" customWidth="1"/>
    <col min="20" max="20" width="15.75" customWidth="1"/>
  </cols>
  <sheetData>
    <row r="1" spans="1:20" ht="16.5" customHeight="1" x14ac:dyDescent="0.3">
      <c r="A1" s="231"/>
      <c r="B1" s="232"/>
      <c r="C1" s="247" t="s">
        <v>42</v>
      </c>
      <c r="D1" s="248"/>
      <c r="E1" s="248"/>
      <c r="F1" s="248"/>
      <c r="G1" s="248"/>
      <c r="H1" s="248"/>
      <c r="I1" s="248"/>
      <c r="J1" s="329" t="s">
        <v>43</v>
      </c>
      <c r="K1" s="329"/>
      <c r="L1" s="329"/>
      <c r="M1" s="329"/>
      <c r="N1" s="329"/>
      <c r="O1" s="329"/>
      <c r="P1" s="329"/>
      <c r="Q1" s="329"/>
      <c r="R1" s="329"/>
      <c r="S1" s="329"/>
      <c r="T1" s="329"/>
    </row>
    <row r="2" spans="1:20" ht="15.75" customHeight="1" x14ac:dyDescent="0.3">
      <c r="A2" s="233"/>
      <c r="B2" s="234"/>
      <c r="C2" s="250"/>
      <c r="D2" s="251"/>
      <c r="E2" s="251"/>
      <c r="F2" s="251"/>
      <c r="G2" s="251"/>
      <c r="H2" s="251"/>
      <c r="I2" s="251"/>
      <c r="J2" s="329" t="s">
        <v>6</v>
      </c>
      <c r="K2" s="329"/>
      <c r="L2" s="329"/>
      <c r="M2" s="329"/>
      <c r="N2" s="329"/>
      <c r="O2" s="329"/>
      <c r="P2" s="329"/>
      <c r="Q2" s="329"/>
      <c r="R2" s="329"/>
      <c r="S2" s="329"/>
      <c r="T2" s="329"/>
    </row>
    <row r="3" spans="1:20" ht="15.75" customHeight="1" thickBot="1" x14ac:dyDescent="0.35">
      <c r="A3" s="235"/>
      <c r="B3" s="236"/>
      <c r="C3" s="253"/>
      <c r="D3" s="254"/>
      <c r="E3" s="254"/>
      <c r="F3" s="254"/>
      <c r="G3" s="254"/>
      <c r="H3" s="254"/>
      <c r="I3" s="254"/>
      <c r="J3" s="214" t="s">
        <v>44</v>
      </c>
      <c r="K3" s="214"/>
      <c r="L3" s="214"/>
      <c r="M3" s="214"/>
      <c r="N3" s="214"/>
      <c r="O3" s="214"/>
      <c r="P3" s="214"/>
      <c r="Q3" s="214"/>
      <c r="R3" s="214"/>
      <c r="S3" s="214"/>
      <c r="T3" s="214"/>
    </row>
    <row r="4" spans="1:20" ht="39" customHeight="1" thickBot="1" x14ac:dyDescent="0.35">
      <c r="A4" s="256" t="s">
        <v>45</v>
      </c>
      <c r="B4" s="286"/>
      <c r="C4" s="286"/>
      <c r="D4" s="96"/>
      <c r="E4" s="318" t="s">
        <v>46</v>
      </c>
      <c r="F4" s="318"/>
      <c r="G4" s="326" t="s">
        <v>59</v>
      </c>
      <c r="H4" s="327"/>
      <c r="I4" s="327"/>
      <c r="J4" s="330"/>
      <c r="K4" s="330"/>
      <c r="L4" s="330"/>
      <c r="M4" s="330"/>
      <c r="N4" s="330"/>
      <c r="O4" s="330"/>
      <c r="P4" s="330"/>
      <c r="Q4" s="330"/>
      <c r="R4" s="330"/>
      <c r="S4" s="330"/>
      <c r="T4" s="330"/>
    </row>
    <row r="5" spans="1:20" ht="51.75" thickBot="1" x14ac:dyDescent="0.35">
      <c r="A5" s="319" t="s">
        <v>47</v>
      </c>
      <c r="B5" s="320"/>
      <c r="C5" s="97" t="s">
        <v>23</v>
      </c>
      <c r="D5" s="12" t="s">
        <v>48</v>
      </c>
      <c r="E5" s="285" t="s">
        <v>49</v>
      </c>
      <c r="F5" s="287"/>
      <c r="G5" s="324" t="s">
        <v>1218</v>
      </c>
      <c r="H5" s="325"/>
      <c r="I5" s="325"/>
      <c r="J5" s="328" t="s">
        <v>50</v>
      </c>
      <c r="K5" s="328"/>
      <c r="L5" s="328"/>
      <c r="M5" s="331" t="s">
        <v>51</v>
      </c>
      <c r="N5" s="331"/>
      <c r="O5" s="331"/>
      <c r="P5" s="331" t="s">
        <v>52</v>
      </c>
      <c r="Q5" s="331"/>
      <c r="R5" s="331"/>
      <c r="S5" s="331"/>
      <c r="T5" s="331"/>
    </row>
    <row r="6" spans="1:20" ht="42.75" customHeight="1" thickBot="1" x14ac:dyDescent="0.35">
      <c r="A6" s="321" t="s">
        <v>11</v>
      </c>
      <c r="B6" s="323" t="s">
        <v>12</v>
      </c>
      <c r="C6" s="271" t="s">
        <v>13</v>
      </c>
      <c r="D6" s="271" t="s">
        <v>54</v>
      </c>
      <c r="E6" s="271" t="s">
        <v>55</v>
      </c>
      <c r="F6" s="271" t="s">
        <v>56</v>
      </c>
      <c r="G6" s="271" t="s">
        <v>58</v>
      </c>
      <c r="H6" s="269" t="s">
        <v>57</v>
      </c>
      <c r="I6" s="271" t="s">
        <v>53</v>
      </c>
      <c r="J6" s="271" t="s">
        <v>60</v>
      </c>
      <c r="K6" s="271" t="s">
        <v>61</v>
      </c>
      <c r="L6" s="271" t="s">
        <v>1216</v>
      </c>
      <c r="M6" s="271" t="s">
        <v>830</v>
      </c>
      <c r="N6" s="271" t="s">
        <v>836</v>
      </c>
      <c r="O6" s="271" t="s">
        <v>829</v>
      </c>
      <c r="P6" s="271" t="s">
        <v>831</v>
      </c>
      <c r="Q6" s="321" t="s">
        <v>805</v>
      </c>
      <c r="R6" s="332" t="s">
        <v>80</v>
      </c>
      <c r="S6" s="333" t="s">
        <v>16</v>
      </c>
      <c r="T6" s="334" t="s">
        <v>567</v>
      </c>
    </row>
    <row r="7" spans="1:20" ht="49.5" customHeight="1" x14ac:dyDescent="0.3">
      <c r="A7" s="322"/>
      <c r="B7" s="322"/>
      <c r="C7" s="271"/>
      <c r="D7" s="271"/>
      <c r="E7" s="271"/>
      <c r="F7" s="271"/>
      <c r="G7" s="271"/>
      <c r="H7" s="271"/>
      <c r="I7" s="271"/>
      <c r="J7" s="271"/>
      <c r="K7" s="269"/>
      <c r="L7" s="271"/>
      <c r="M7" s="271"/>
      <c r="N7" s="271"/>
      <c r="O7" s="271"/>
      <c r="P7" s="271"/>
      <c r="Q7" s="321"/>
      <c r="R7" s="301"/>
      <c r="S7" s="302"/>
      <c r="T7" s="335"/>
    </row>
    <row r="8" spans="1:20" x14ac:dyDescent="0.3">
      <c r="A8" s="28">
        <v>43244</v>
      </c>
      <c r="B8" s="15" t="s">
        <v>549</v>
      </c>
      <c r="C8" s="2" t="s">
        <v>550</v>
      </c>
      <c r="D8" s="9">
        <v>2.0007999999999999</v>
      </c>
      <c r="E8" s="15">
        <v>100</v>
      </c>
      <c r="F8" s="56">
        <f>+D8/E8</f>
        <v>2.0007999999999998E-2</v>
      </c>
      <c r="G8" s="3">
        <v>0.85340000000000005</v>
      </c>
      <c r="H8" s="3">
        <v>7.1000000000000004E-3</v>
      </c>
      <c r="I8" s="3">
        <v>0.5</v>
      </c>
      <c r="J8" s="22">
        <v>19.8</v>
      </c>
      <c r="K8" s="56">
        <f t="shared" ref="K8:K43" si="0">2-LOG10(J8)</f>
        <v>0.70333480973846885</v>
      </c>
      <c r="L8" s="16">
        <f t="shared" ref="L8:L39" si="1">+(K8-H8)/G8</f>
        <v>0.81583643044113996</v>
      </c>
      <c r="M8" s="38">
        <f t="shared" ref="M8:M39" si="2">+(L8*100*100)/(D8*I8*1000)</f>
        <v>8.1551022635059969</v>
      </c>
      <c r="N8" s="2">
        <f>+M8*1000</f>
        <v>8155.1022635059971</v>
      </c>
      <c r="O8" s="204">
        <f>+AVERAGE(M8:M9)</f>
        <v>8.1951695353537097</v>
      </c>
      <c r="P8" s="202">
        <f>+STDEVA(M8:M9)</f>
        <v>5.6663679254323973E-2</v>
      </c>
      <c r="Q8" s="202">
        <f>+(P8/O8)*100</f>
        <v>0.69142778572033936</v>
      </c>
      <c r="R8" s="2" t="s">
        <v>14</v>
      </c>
      <c r="S8" s="2" t="s">
        <v>15</v>
      </c>
      <c r="T8" s="2" t="s">
        <v>10</v>
      </c>
    </row>
    <row r="9" spans="1:20" x14ac:dyDescent="0.3">
      <c r="A9" s="28">
        <v>43244</v>
      </c>
      <c r="B9" s="15" t="s">
        <v>549</v>
      </c>
      <c r="C9" s="2" t="s">
        <v>550</v>
      </c>
      <c r="D9" s="9">
        <v>2.0002</v>
      </c>
      <c r="E9" s="15">
        <v>100</v>
      </c>
      <c r="F9" s="56">
        <f>+D9/E9</f>
        <v>2.0001999999999999E-2</v>
      </c>
      <c r="G9" s="3">
        <v>0.85340000000000005</v>
      </c>
      <c r="H9" s="3">
        <v>7.1000000000000004E-3</v>
      </c>
      <c r="I9" s="3">
        <v>0.5</v>
      </c>
      <c r="J9" s="22">
        <v>19.5</v>
      </c>
      <c r="K9" s="56">
        <f t="shared" si="0"/>
        <v>0.70996538863748193</v>
      </c>
      <c r="L9" s="16">
        <f t="shared" si="1"/>
        <v>0.82360603308821412</v>
      </c>
      <c r="M9" s="38">
        <f t="shared" si="2"/>
        <v>8.2352368072014208</v>
      </c>
      <c r="N9" s="2">
        <f>+M9*1000</f>
        <v>8235.2368072014215</v>
      </c>
      <c r="O9" s="202"/>
      <c r="P9" s="202"/>
      <c r="Q9" s="202"/>
      <c r="R9" s="2" t="s">
        <v>14</v>
      </c>
      <c r="S9" s="2" t="s">
        <v>15</v>
      </c>
      <c r="T9" s="2" t="s">
        <v>10</v>
      </c>
    </row>
    <row r="10" spans="1:20" x14ac:dyDescent="0.3">
      <c r="A10" s="28">
        <v>43279</v>
      </c>
      <c r="B10" s="15" t="s">
        <v>741</v>
      </c>
      <c r="C10" s="2" t="s">
        <v>740</v>
      </c>
      <c r="D10" s="9">
        <v>2.0005000000000002</v>
      </c>
      <c r="E10" s="15">
        <v>100</v>
      </c>
      <c r="F10" s="56">
        <f>+D10/E10</f>
        <v>2.0005000000000002E-2</v>
      </c>
      <c r="G10" s="3">
        <v>0.8679</v>
      </c>
      <c r="H10" s="3">
        <v>-1.12E-2</v>
      </c>
      <c r="I10" s="3">
        <v>0.5</v>
      </c>
      <c r="J10" s="22">
        <v>69.3</v>
      </c>
      <c r="K10" s="63">
        <f t="shared" si="0"/>
        <v>0.15926676538819318</v>
      </c>
      <c r="L10" s="16">
        <f t="shared" si="1"/>
        <v>0.19641291092083554</v>
      </c>
      <c r="M10" s="38">
        <f t="shared" si="2"/>
        <v>1.9636381996584409</v>
      </c>
      <c r="N10" s="38">
        <f>+M10*1000</f>
        <v>1963.638199658441</v>
      </c>
      <c r="O10" s="204">
        <f>+AVERAGE(M10:M11)</f>
        <v>1.96705327379327</v>
      </c>
      <c r="P10" s="202">
        <f>+STDEVA(M10:M11)</f>
        <v>4.8296441579848918E-3</v>
      </c>
      <c r="Q10" s="202">
        <f>+(P10/O10)*100</f>
        <v>0.24552686103266513</v>
      </c>
      <c r="R10" s="2" t="s">
        <v>14</v>
      </c>
      <c r="S10" s="2" t="s">
        <v>15</v>
      </c>
      <c r="T10" s="2" t="s">
        <v>10</v>
      </c>
    </row>
    <row r="11" spans="1:20" x14ac:dyDescent="0.3">
      <c r="A11" s="28">
        <v>43279</v>
      </c>
      <c r="B11" s="15" t="s">
        <v>741</v>
      </c>
      <c r="C11" s="2" t="s">
        <v>740</v>
      </c>
      <c r="D11" s="9">
        <v>2.0009000000000001</v>
      </c>
      <c r="E11" s="15">
        <v>100</v>
      </c>
      <c r="F11" s="56">
        <f t="shared" ref="F11:F59" si="3">+D11/E11</f>
        <v>2.0009000000000002E-2</v>
      </c>
      <c r="G11" s="3">
        <v>0.8679</v>
      </c>
      <c r="H11" s="3">
        <v>-1.12E-2</v>
      </c>
      <c r="I11" s="3">
        <v>0.5</v>
      </c>
      <c r="J11" s="22">
        <v>69.2</v>
      </c>
      <c r="K11" s="63">
        <f t="shared" si="0"/>
        <v>0.15989390554324223</v>
      </c>
      <c r="L11" s="16">
        <f t="shared" si="1"/>
        <v>0.19713550586846668</v>
      </c>
      <c r="M11" s="38">
        <f t="shared" si="2"/>
        <v>1.9704683479280991</v>
      </c>
      <c r="N11" s="38">
        <f>+M11*1000</f>
        <v>1970.4683479280991</v>
      </c>
      <c r="O11" s="202"/>
      <c r="P11" s="202"/>
      <c r="Q11" s="202"/>
      <c r="R11" s="2" t="s">
        <v>14</v>
      </c>
      <c r="S11" s="2" t="s">
        <v>15</v>
      </c>
      <c r="T11" s="2" t="s">
        <v>10</v>
      </c>
    </row>
    <row r="12" spans="1:20" x14ac:dyDescent="0.3">
      <c r="A12" s="28">
        <v>43279</v>
      </c>
      <c r="B12" s="15" t="s">
        <v>742</v>
      </c>
      <c r="C12" s="2" t="s">
        <v>743</v>
      </c>
      <c r="D12" s="9">
        <v>2.0007000000000001</v>
      </c>
      <c r="E12" s="15">
        <v>100</v>
      </c>
      <c r="F12" s="56">
        <f t="shared" si="3"/>
        <v>2.0007E-2</v>
      </c>
      <c r="G12" s="3">
        <v>0.8679</v>
      </c>
      <c r="H12" s="3">
        <v>-1.12E-2</v>
      </c>
      <c r="I12" s="3">
        <v>1.5</v>
      </c>
      <c r="J12" s="63">
        <v>73.8</v>
      </c>
      <c r="K12" s="63">
        <f t="shared" si="0"/>
        <v>0.13194363817695853</v>
      </c>
      <c r="L12" s="16">
        <f t="shared" si="1"/>
        <v>0.16493102681986233</v>
      </c>
      <c r="M12" s="38">
        <f t="shared" si="2"/>
        <v>0.54957773719152403</v>
      </c>
      <c r="N12" s="38">
        <f t="shared" ref="N12:N43" si="4">+M12*1000</f>
        <v>549.57773719152408</v>
      </c>
      <c r="O12" s="204">
        <f>+AVERAGE(M12:M13)</f>
        <v>0.55077715512438608</v>
      </c>
      <c r="P12" s="202">
        <f>+STDEVA(M12:M13)</f>
        <v>1.6962331076070859E-3</v>
      </c>
      <c r="Q12" s="202">
        <f>+(P12/O12)*100</f>
        <v>0.30797085387900902</v>
      </c>
      <c r="R12" s="2" t="s">
        <v>14</v>
      </c>
      <c r="S12" s="2" t="s">
        <v>15</v>
      </c>
      <c r="T12" s="2" t="s">
        <v>10</v>
      </c>
    </row>
    <row r="13" spans="1:20" x14ac:dyDescent="0.3">
      <c r="A13" s="28">
        <v>43279</v>
      </c>
      <c r="B13" s="15" t="s">
        <v>742</v>
      </c>
      <c r="C13" s="2" t="s">
        <v>743</v>
      </c>
      <c r="D13" s="9">
        <v>2.0002</v>
      </c>
      <c r="E13" s="15">
        <v>100</v>
      </c>
      <c r="F13" s="56">
        <f t="shared" si="3"/>
        <v>2.0001999999999999E-2</v>
      </c>
      <c r="G13" s="3">
        <v>0.8679</v>
      </c>
      <c r="H13" s="3">
        <v>-1.12E-2</v>
      </c>
      <c r="I13" s="3">
        <v>1.5</v>
      </c>
      <c r="J13" s="63">
        <v>73.7</v>
      </c>
      <c r="K13" s="63">
        <f t="shared" si="0"/>
        <v>0.13253251214094841</v>
      </c>
      <c r="L13" s="16">
        <f t="shared" si="1"/>
        <v>0.16560953121436617</v>
      </c>
      <c r="M13" s="38">
        <f t="shared" si="2"/>
        <v>0.55197657305724823</v>
      </c>
      <c r="N13" s="38">
        <f t="shared" si="4"/>
        <v>551.97657305724829</v>
      </c>
      <c r="O13" s="202"/>
      <c r="P13" s="202"/>
      <c r="Q13" s="202"/>
      <c r="R13" s="2" t="s">
        <v>14</v>
      </c>
      <c r="S13" s="2" t="s">
        <v>15</v>
      </c>
      <c r="T13" s="2" t="s">
        <v>10</v>
      </c>
    </row>
    <row r="14" spans="1:20" x14ac:dyDescent="0.3">
      <c r="A14" s="28">
        <v>43279</v>
      </c>
      <c r="B14" s="15" t="s">
        <v>745</v>
      </c>
      <c r="C14" s="2" t="s">
        <v>744</v>
      </c>
      <c r="D14" s="9">
        <v>2.0003000000000002</v>
      </c>
      <c r="E14" s="15">
        <v>100</v>
      </c>
      <c r="F14" s="56">
        <f t="shared" si="3"/>
        <v>2.0003000000000003E-2</v>
      </c>
      <c r="G14" s="3">
        <v>0.8679</v>
      </c>
      <c r="H14" s="3">
        <v>-1.12E-2</v>
      </c>
      <c r="I14" s="3">
        <v>0.5</v>
      </c>
      <c r="J14" s="63">
        <v>43.2</v>
      </c>
      <c r="K14" s="63">
        <f t="shared" si="0"/>
        <v>0.36451625318508785</v>
      </c>
      <c r="L14" s="16">
        <f t="shared" si="1"/>
        <v>0.43290269983303126</v>
      </c>
      <c r="M14" s="38">
        <f t="shared" si="2"/>
        <v>4.3283777416690619</v>
      </c>
      <c r="N14" s="38">
        <f t="shared" si="4"/>
        <v>4328.3777416690618</v>
      </c>
      <c r="O14" s="204">
        <f>+AVERAGE(M14:M15)</f>
        <v>4.3220542858313085</v>
      </c>
      <c r="P14" s="202">
        <f>+STDEVA(M14:M15)</f>
        <v>8.942717006818807E-3</v>
      </c>
      <c r="Q14" s="202">
        <f>+(P14/O14)*100</f>
        <v>0.20690894688979491</v>
      </c>
      <c r="R14" s="2" t="s">
        <v>14</v>
      </c>
      <c r="S14" s="2" t="s">
        <v>15</v>
      </c>
      <c r="T14" s="2" t="s">
        <v>10</v>
      </c>
    </row>
    <row r="15" spans="1:20" x14ac:dyDescent="0.3">
      <c r="A15" s="28">
        <v>43279</v>
      </c>
      <c r="B15" s="15" t="s">
        <v>745</v>
      </c>
      <c r="C15" s="2" t="s">
        <v>744</v>
      </c>
      <c r="D15" s="9">
        <v>2.0007999999999999</v>
      </c>
      <c r="E15" s="15">
        <v>100</v>
      </c>
      <c r="F15" s="56">
        <f t="shared" si="3"/>
        <v>2.0007999999999998E-2</v>
      </c>
      <c r="G15" s="3">
        <v>0.8679</v>
      </c>
      <c r="H15" s="3">
        <v>-1.12E-2</v>
      </c>
      <c r="I15" s="3">
        <v>0.5</v>
      </c>
      <c r="J15" s="63">
        <v>43.3</v>
      </c>
      <c r="K15" s="63">
        <f t="shared" si="0"/>
        <v>0.36351210364663467</v>
      </c>
      <c r="L15" s="16">
        <f t="shared" si="1"/>
        <v>0.4317457122325552</v>
      </c>
      <c r="M15" s="38">
        <f t="shared" si="2"/>
        <v>4.3157308299935542</v>
      </c>
      <c r="N15" s="38">
        <f t="shared" si="4"/>
        <v>4315.7308299935539</v>
      </c>
      <c r="O15" s="202"/>
      <c r="P15" s="202"/>
      <c r="Q15" s="202"/>
      <c r="R15" s="2" t="s">
        <v>14</v>
      </c>
      <c r="S15" s="2" t="s">
        <v>15</v>
      </c>
      <c r="T15" s="2" t="s">
        <v>10</v>
      </c>
    </row>
    <row r="16" spans="1:20" x14ac:dyDescent="0.3">
      <c r="A16" s="28">
        <v>43279</v>
      </c>
      <c r="B16" s="15" t="s">
        <v>746</v>
      </c>
      <c r="C16" s="2" t="s">
        <v>747</v>
      </c>
      <c r="D16" s="9">
        <v>2.0002</v>
      </c>
      <c r="E16" s="15">
        <v>100</v>
      </c>
      <c r="F16" s="56">
        <f t="shared" si="3"/>
        <v>2.0001999999999999E-2</v>
      </c>
      <c r="G16" s="3">
        <v>0.8679</v>
      </c>
      <c r="H16" s="3">
        <v>-1.12E-2</v>
      </c>
      <c r="I16" s="3">
        <v>0.5</v>
      </c>
      <c r="J16" s="63">
        <v>73.8</v>
      </c>
      <c r="K16" s="63">
        <f t="shared" si="0"/>
        <v>0.13194363817695853</v>
      </c>
      <c r="L16" s="16">
        <f t="shared" si="1"/>
        <v>0.16493102681986233</v>
      </c>
      <c r="M16" s="38">
        <f t="shared" si="2"/>
        <v>1.649145353663257</v>
      </c>
      <c r="N16" s="38">
        <f t="shared" si="4"/>
        <v>1649.1453536632571</v>
      </c>
      <c r="O16" s="204">
        <f>+AVERAGE(M16:M17)</f>
        <v>1.6593774679655309</v>
      </c>
      <c r="P16" s="202">
        <f>+STDEVA(M16:M17)</f>
        <v>1.4470394818027449E-2</v>
      </c>
      <c r="Q16" s="202">
        <f>+(P16/O16)*100</f>
        <v>0.87203756212073813</v>
      </c>
      <c r="R16" s="2" t="s">
        <v>14</v>
      </c>
      <c r="S16" s="2" t="s">
        <v>15</v>
      </c>
      <c r="T16" s="2" t="s">
        <v>10</v>
      </c>
    </row>
    <row r="17" spans="1:20" x14ac:dyDescent="0.3">
      <c r="A17" s="28">
        <v>43279</v>
      </c>
      <c r="B17" s="15" t="s">
        <v>746</v>
      </c>
      <c r="C17" s="2" t="s">
        <v>747</v>
      </c>
      <c r="D17" s="9">
        <v>2.0001000000000002</v>
      </c>
      <c r="E17" s="15">
        <v>100</v>
      </c>
      <c r="F17" s="56">
        <f t="shared" si="3"/>
        <v>2.0001000000000001E-2</v>
      </c>
      <c r="G17" s="3">
        <v>0.8679</v>
      </c>
      <c r="H17" s="3">
        <v>-1.12E-2</v>
      </c>
      <c r="I17" s="3">
        <v>0.5</v>
      </c>
      <c r="J17" s="63">
        <v>73.5</v>
      </c>
      <c r="K17" s="63">
        <f t="shared" si="0"/>
        <v>0.13371266091580503</v>
      </c>
      <c r="L17" s="16">
        <f t="shared" si="1"/>
        <v>0.16696930627469181</v>
      </c>
      <c r="M17" s="38">
        <f t="shared" si="2"/>
        <v>1.6696095822678048</v>
      </c>
      <c r="N17" s="38">
        <f t="shared" si="4"/>
        <v>1669.6095822678049</v>
      </c>
      <c r="O17" s="202"/>
      <c r="P17" s="202"/>
      <c r="Q17" s="202"/>
      <c r="R17" s="2" t="s">
        <v>14</v>
      </c>
      <c r="S17" s="2" t="s">
        <v>15</v>
      </c>
      <c r="T17" s="2" t="s">
        <v>10</v>
      </c>
    </row>
    <row r="18" spans="1:20" ht="18" customHeight="1" x14ac:dyDescent="0.3">
      <c r="A18" s="31">
        <v>43308</v>
      </c>
      <c r="B18" s="15" t="s">
        <v>822</v>
      </c>
      <c r="C18" s="19" t="s">
        <v>823</v>
      </c>
      <c r="D18" s="9">
        <v>2.0007999999999999</v>
      </c>
      <c r="E18" s="15">
        <v>100</v>
      </c>
      <c r="F18" s="56">
        <f t="shared" si="3"/>
        <v>2.0007999999999998E-2</v>
      </c>
      <c r="G18" s="3">
        <v>0.88060000000000005</v>
      </c>
      <c r="H18" s="3">
        <v>-5.3699999999999998E-2</v>
      </c>
      <c r="I18" s="3">
        <v>5</v>
      </c>
      <c r="J18" s="63">
        <v>64.099999999999994</v>
      </c>
      <c r="K18" s="63">
        <f t="shared" si="0"/>
        <v>0.19314197048118253</v>
      </c>
      <c r="L18" s="16">
        <f t="shared" si="1"/>
        <v>0.28031111796636671</v>
      </c>
      <c r="M18" s="38">
        <f t="shared" si="2"/>
        <v>0.28019903835102633</v>
      </c>
      <c r="N18" s="38">
        <f t="shared" si="4"/>
        <v>280.19903835102633</v>
      </c>
      <c r="O18" s="201">
        <f>+AVERAGE(M18:M19)</f>
        <v>0.28212928707279789</v>
      </c>
      <c r="P18" s="230">
        <f>+STDEVA(M18:M19)</f>
        <v>2.7297839210826636E-3</v>
      </c>
      <c r="Q18" s="201">
        <f>+(P18/O18)*100</f>
        <v>0.96756488821321729</v>
      </c>
      <c r="R18" s="2" t="s">
        <v>14</v>
      </c>
      <c r="S18" s="2" t="s">
        <v>15</v>
      </c>
      <c r="T18" s="2" t="s">
        <v>10</v>
      </c>
    </row>
    <row r="19" spans="1:20" ht="15" customHeight="1" x14ac:dyDescent="0.3">
      <c r="A19" s="31">
        <v>43308</v>
      </c>
      <c r="B19" s="15" t="s">
        <v>822</v>
      </c>
      <c r="C19" s="19" t="s">
        <v>823</v>
      </c>
      <c r="D19" s="9">
        <v>2.0007999999999999</v>
      </c>
      <c r="E19" s="15">
        <v>100</v>
      </c>
      <c r="F19" s="56">
        <f t="shared" si="3"/>
        <v>2.0007999999999998E-2</v>
      </c>
      <c r="G19" s="3">
        <v>0.88060000000000005</v>
      </c>
      <c r="H19" s="3">
        <v>-5.3699999999999998E-2</v>
      </c>
      <c r="I19" s="3">
        <v>5</v>
      </c>
      <c r="J19" s="63">
        <v>63.6</v>
      </c>
      <c r="K19" s="63">
        <f t="shared" si="0"/>
        <v>0.19654288435158618</v>
      </c>
      <c r="L19" s="16">
        <f t="shared" si="1"/>
        <v>0.28417315960888728</v>
      </c>
      <c r="M19" s="38">
        <f t="shared" si="2"/>
        <v>0.28405953579456944</v>
      </c>
      <c r="N19" s="38">
        <f t="shared" si="4"/>
        <v>284.05953579456946</v>
      </c>
      <c r="O19" s="225"/>
      <c r="P19" s="230"/>
      <c r="Q19" s="201"/>
      <c r="R19" s="2" t="s">
        <v>14</v>
      </c>
      <c r="S19" s="2" t="s">
        <v>15</v>
      </c>
      <c r="T19" s="2" t="s">
        <v>10</v>
      </c>
    </row>
    <row r="20" spans="1:20" x14ac:dyDescent="0.3">
      <c r="A20" s="31">
        <v>43340</v>
      </c>
      <c r="B20" s="15" t="s">
        <v>1007</v>
      </c>
      <c r="C20" s="2" t="s">
        <v>1006</v>
      </c>
      <c r="D20" s="9">
        <v>2.0001000000000002</v>
      </c>
      <c r="E20" s="15">
        <v>100</v>
      </c>
      <c r="F20" s="56">
        <f t="shared" si="3"/>
        <v>2.0001000000000001E-2</v>
      </c>
      <c r="G20" s="9">
        <v>0.86785259629232792</v>
      </c>
      <c r="H20" s="9">
        <v>-1.1163273436909482E-2</v>
      </c>
      <c r="I20" s="3">
        <v>2</v>
      </c>
      <c r="J20" s="63">
        <v>42.9</v>
      </c>
      <c r="K20" s="63">
        <f t="shared" si="0"/>
        <v>0.36754270781527576</v>
      </c>
      <c r="L20" s="16">
        <f t="shared" si="1"/>
        <v>0.43637131797508816</v>
      </c>
      <c r="M20" s="38">
        <f t="shared" si="2"/>
        <v>1.0908737512501578</v>
      </c>
      <c r="N20" s="38">
        <f t="shared" si="4"/>
        <v>1090.8737512501577</v>
      </c>
      <c r="O20" s="201">
        <f>+AVERAGE(M20:M21)</f>
        <v>1.0981514977642886</v>
      </c>
      <c r="P20" s="230">
        <f>+STDEVA(M20:M21)</f>
        <v>1.0292287823797326E-2</v>
      </c>
      <c r="Q20" s="201">
        <f>+(P20/O20)*100</f>
        <v>0.93723751638560371</v>
      </c>
      <c r="R20" s="2" t="s">
        <v>14</v>
      </c>
      <c r="S20" s="2" t="s">
        <v>15</v>
      </c>
      <c r="T20" s="2" t="s">
        <v>10</v>
      </c>
    </row>
    <row r="21" spans="1:20" x14ac:dyDescent="0.3">
      <c r="A21" s="31">
        <v>43340</v>
      </c>
      <c r="B21" s="15" t="s">
        <v>1007</v>
      </c>
      <c r="C21" s="2" t="s">
        <v>1006</v>
      </c>
      <c r="D21" s="9">
        <v>2.0003000000000002</v>
      </c>
      <c r="E21" s="15">
        <v>100</v>
      </c>
      <c r="F21" s="56">
        <f t="shared" si="3"/>
        <v>2.0003000000000003E-2</v>
      </c>
      <c r="G21" s="9">
        <v>0.86785259629232792</v>
      </c>
      <c r="H21" s="9">
        <v>-1.1163273436909482E-2</v>
      </c>
      <c r="I21" s="3">
        <v>2</v>
      </c>
      <c r="J21" s="63">
        <v>42.4</v>
      </c>
      <c r="K21" s="63">
        <f t="shared" si="0"/>
        <v>0.3726341434072673</v>
      </c>
      <c r="L21" s="16">
        <f t="shared" si="1"/>
        <v>0.44223802346602448</v>
      </c>
      <c r="M21" s="38">
        <f t="shared" si="2"/>
        <v>1.1054292442784195</v>
      </c>
      <c r="N21" s="38">
        <f t="shared" si="4"/>
        <v>1105.4292442784194</v>
      </c>
      <c r="O21" s="225"/>
      <c r="P21" s="230"/>
      <c r="Q21" s="201"/>
      <c r="R21" s="2" t="s">
        <v>14</v>
      </c>
      <c r="S21" s="2" t="s">
        <v>15</v>
      </c>
      <c r="T21" s="2" t="s">
        <v>10</v>
      </c>
    </row>
    <row r="22" spans="1:20" x14ac:dyDescent="0.3">
      <c r="A22" s="31">
        <v>43340</v>
      </c>
      <c r="B22" s="15" t="s">
        <v>1008</v>
      </c>
      <c r="C22" s="2" t="s">
        <v>1009</v>
      </c>
      <c r="D22" s="9">
        <v>2.0005999999999999</v>
      </c>
      <c r="E22" s="15">
        <v>100</v>
      </c>
      <c r="F22" s="56">
        <f t="shared" si="3"/>
        <v>2.0005999999999999E-2</v>
      </c>
      <c r="G22" s="9">
        <v>0.86785259629232792</v>
      </c>
      <c r="H22" s="9">
        <v>-1.1163273436909482E-2</v>
      </c>
      <c r="I22" s="3">
        <v>5</v>
      </c>
      <c r="J22" s="63">
        <v>25.3</v>
      </c>
      <c r="K22" s="63">
        <f t="shared" si="0"/>
        <v>0.59687947882418202</v>
      </c>
      <c r="L22" s="56">
        <f t="shared" si="1"/>
        <v>0.70062906403552205</v>
      </c>
      <c r="M22" s="38">
        <f t="shared" si="2"/>
        <v>0.70041893835401581</v>
      </c>
      <c r="N22" s="38">
        <f t="shared" si="4"/>
        <v>700.41893835401584</v>
      </c>
      <c r="O22" s="201">
        <f>+AVERAGE(M22:M23)</f>
        <v>0.70041893835401581</v>
      </c>
      <c r="P22" s="230">
        <f>+STDEVA(M22:M23)</f>
        <v>0</v>
      </c>
      <c r="Q22" s="201">
        <f>+(P22/O22)*100</f>
        <v>0</v>
      </c>
      <c r="R22" s="2" t="s">
        <v>14</v>
      </c>
      <c r="S22" s="2" t="s">
        <v>15</v>
      </c>
      <c r="T22" s="2" t="s">
        <v>10</v>
      </c>
    </row>
    <row r="23" spans="1:20" x14ac:dyDescent="0.3">
      <c r="A23" s="31">
        <v>43340</v>
      </c>
      <c r="B23" s="15" t="s">
        <v>1008</v>
      </c>
      <c r="C23" s="2" t="s">
        <v>1009</v>
      </c>
      <c r="D23" s="9">
        <v>2.0005999999999999</v>
      </c>
      <c r="E23" s="15">
        <v>100</v>
      </c>
      <c r="F23" s="56">
        <f t="shared" si="3"/>
        <v>2.0005999999999999E-2</v>
      </c>
      <c r="G23" s="9">
        <v>0.86785259629232792</v>
      </c>
      <c r="H23" s="9">
        <v>-1.1163273436909482E-2</v>
      </c>
      <c r="I23" s="3">
        <v>5</v>
      </c>
      <c r="J23" s="63">
        <v>25.3</v>
      </c>
      <c r="K23" s="63">
        <f t="shared" si="0"/>
        <v>0.59687947882418202</v>
      </c>
      <c r="L23" s="16">
        <f t="shared" si="1"/>
        <v>0.70062906403552205</v>
      </c>
      <c r="M23" s="38">
        <f t="shared" si="2"/>
        <v>0.70041893835401581</v>
      </c>
      <c r="N23" s="38">
        <f t="shared" si="4"/>
        <v>700.41893835401584</v>
      </c>
      <c r="O23" s="225"/>
      <c r="P23" s="230"/>
      <c r="Q23" s="201"/>
      <c r="R23" s="2" t="s">
        <v>14</v>
      </c>
      <c r="S23" s="2" t="s">
        <v>15</v>
      </c>
      <c r="T23" s="2" t="s">
        <v>10</v>
      </c>
    </row>
    <row r="24" spans="1:20" x14ac:dyDescent="0.3">
      <c r="A24" s="31">
        <v>43340</v>
      </c>
      <c r="B24" s="15" t="s">
        <v>1010</v>
      </c>
      <c r="C24" s="2" t="s">
        <v>1011</v>
      </c>
      <c r="D24" s="9">
        <v>2.0009000000000001</v>
      </c>
      <c r="E24" s="15">
        <v>100</v>
      </c>
      <c r="F24" s="56">
        <f t="shared" si="3"/>
        <v>2.0009000000000002E-2</v>
      </c>
      <c r="G24" s="9">
        <v>0.86785259629232792</v>
      </c>
      <c r="H24" s="9">
        <v>-1.1163273436909482E-2</v>
      </c>
      <c r="I24" s="3">
        <v>0.5</v>
      </c>
      <c r="J24" s="63">
        <v>37.6</v>
      </c>
      <c r="K24" s="63">
        <f t="shared" si="0"/>
        <v>0.42481215507233894</v>
      </c>
      <c r="L24" s="16">
        <f t="shared" si="1"/>
        <v>0.5023611502366172</v>
      </c>
      <c r="M24" s="38">
        <f t="shared" si="2"/>
        <v>5.0213518940138648</v>
      </c>
      <c r="N24" s="38">
        <f t="shared" si="4"/>
        <v>5021.3518940138647</v>
      </c>
      <c r="O24" s="201">
        <f>+AVERAGE(M24:M25)</f>
        <v>5.0287674271130047</v>
      </c>
      <c r="P24" s="230">
        <f>+STDEVA(M24:M25)</f>
        <v>1.0487147481030853E-2</v>
      </c>
      <c r="Q24" s="201">
        <f>+(P24/O24)*100</f>
        <v>0.20854309993515613</v>
      </c>
      <c r="R24" s="2" t="s">
        <v>14</v>
      </c>
      <c r="S24" s="2" t="s">
        <v>15</v>
      </c>
      <c r="T24" s="2" t="s">
        <v>10</v>
      </c>
    </row>
    <row r="25" spans="1:20" x14ac:dyDescent="0.3">
      <c r="A25" s="31">
        <v>43340</v>
      </c>
      <c r="B25" s="15" t="s">
        <v>1010</v>
      </c>
      <c r="C25" s="2" t="s">
        <v>1011</v>
      </c>
      <c r="D25" s="9">
        <v>2.0003000000000002</v>
      </c>
      <c r="E25" s="15">
        <v>100</v>
      </c>
      <c r="F25" s="56">
        <f t="shared" si="3"/>
        <v>2.0003000000000003E-2</v>
      </c>
      <c r="G25" s="9">
        <v>0.86785259629232792</v>
      </c>
      <c r="H25" s="9">
        <v>-1.1163273436909482E-2</v>
      </c>
      <c r="I25" s="3">
        <v>0.5</v>
      </c>
      <c r="J25" s="63">
        <v>37.5</v>
      </c>
      <c r="K25" s="63">
        <f t="shared" si="0"/>
        <v>0.42596873227228116</v>
      </c>
      <c r="L25" s="16">
        <f t="shared" si="1"/>
        <v>0.5036938387656178</v>
      </c>
      <c r="M25" s="38">
        <f t="shared" si="2"/>
        <v>5.0361829602121455</v>
      </c>
      <c r="N25" s="38">
        <f t="shared" si="4"/>
        <v>5036.1829602121452</v>
      </c>
      <c r="O25" s="225"/>
      <c r="P25" s="230"/>
      <c r="Q25" s="201"/>
      <c r="R25" s="2" t="s">
        <v>14</v>
      </c>
      <c r="S25" s="2" t="s">
        <v>15</v>
      </c>
      <c r="T25" s="2" t="s">
        <v>10</v>
      </c>
    </row>
    <row r="26" spans="1:20" x14ac:dyDescent="0.3">
      <c r="A26" s="31">
        <v>43340</v>
      </c>
      <c r="B26" s="15" t="s">
        <v>1012</v>
      </c>
      <c r="C26" s="2" t="s">
        <v>1013</v>
      </c>
      <c r="D26" s="9">
        <v>2.0007000000000001</v>
      </c>
      <c r="E26" s="15">
        <v>100</v>
      </c>
      <c r="F26" s="56">
        <f t="shared" si="3"/>
        <v>2.0007E-2</v>
      </c>
      <c r="G26" s="9">
        <v>0.86785259629232792</v>
      </c>
      <c r="H26" s="9">
        <v>-1.1163273436909482E-2</v>
      </c>
      <c r="I26" s="3">
        <v>1</v>
      </c>
      <c r="J26" s="63">
        <v>41.9</v>
      </c>
      <c r="K26" s="63">
        <f t="shared" si="0"/>
        <v>0.37778597703370465</v>
      </c>
      <c r="L26" s="16">
        <f t="shared" si="1"/>
        <v>0.44817432376453969</v>
      </c>
      <c r="M26" s="38">
        <f t="shared" si="2"/>
        <v>2.2400875881668401</v>
      </c>
      <c r="N26" s="38">
        <f t="shared" si="4"/>
        <v>2240.0875881668399</v>
      </c>
      <c r="O26" s="201">
        <f>+AVERAGE(M26:M27)</f>
        <v>2.2402555611413577</v>
      </c>
      <c r="P26" s="230">
        <f>+STDEVA(M26:M27)</f>
        <v>2.3754965867501019E-4</v>
      </c>
      <c r="Q26" s="201">
        <f>+(P26/O26)*100</f>
        <v>1.0603685704232075E-2</v>
      </c>
      <c r="R26" s="2" t="s">
        <v>14</v>
      </c>
      <c r="S26" s="2" t="s">
        <v>15</v>
      </c>
      <c r="T26" s="2" t="s">
        <v>10</v>
      </c>
    </row>
    <row r="27" spans="1:20" x14ac:dyDescent="0.3">
      <c r="A27" s="31">
        <v>43340</v>
      </c>
      <c r="B27" s="15" t="s">
        <v>1012</v>
      </c>
      <c r="C27" s="2" t="s">
        <v>1013</v>
      </c>
      <c r="D27" s="9">
        <v>2.0004</v>
      </c>
      <c r="E27" s="15">
        <v>100</v>
      </c>
      <c r="F27" s="56">
        <f t="shared" si="3"/>
        <v>2.0004000000000001E-2</v>
      </c>
      <c r="G27" s="9">
        <v>0.86785259629232792</v>
      </c>
      <c r="H27" s="9">
        <v>-1.1163273436909482E-2</v>
      </c>
      <c r="I27" s="3">
        <v>1</v>
      </c>
      <c r="J27" s="63">
        <v>41.9</v>
      </c>
      <c r="K27" s="63">
        <f t="shared" si="0"/>
        <v>0.37778597703370465</v>
      </c>
      <c r="L27" s="16">
        <f t="shared" si="1"/>
        <v>0.44817432376453969</v>
      </c>
      <c r="M27" s="38">
        <f t="shared" si="2"/>
        <v>2.2404235341158754</v>
      </c>
      <c r="N27" s="38">
        <f t="shared" si="4"/>
        <v>2240.4235341158756</v>
      </c>
      <c r="O27" s="225"/>
      <c r="P27" s="230"/>
      <c r="Q27" s="201"/>
      <c r="R27" s="2" t="s">
        <v>14</v>
      </c>
      <c r="S27" s="2" t="s">
        <v>15</v>
      </c>
      <c r="T27" s="2" t="s">
        <v>10</v>
      </c>
    </row>
    <row r="28" spans="1:20" x14ac:dyDescent="0.3">
      <c r="A28" s="31">
        <v>43340</v>
      </c>
      <c r="B28" s="15" t="s">
        <v>1014</v>
      </c>
      <c r="C28" s="2" t="s">
        <v>1015</v>
      </c>
      <c r="D28" s="9">
        <v>2.0007999999999999</v>
      </c>
      <c r="E28" s="15">
        <v>100</v>
      </c>
      <c r="F28" s="56">
        <f t="shared" si="3"/>
        <v>2.0007999999999998E-2</v>
      </c>
      <c r="G28" s="9">
        <v>0.86785259629232792</v>
      </c>
      <c r="H28" s="9">
        <v>-1.1163273436909482E-2</v>
      </c>
      <c r="I28" s="3">
        <v>1</v>
      </c>
      <c r="J28" s="63">
        <v>5.35</v>
      </c>
      <c r="K28" s="63">
        <f t="shared" si="0"/>
        <v>1.2716462179787715</v>
      </c>
      <c r="L28" s="16">
        <f t="shared" si="1"/>
        <v>1.4781421371511099</v>
      </c>
      <c r="M28" s="38">
        <f t="shared" si="2"/>
        <v>7.3877555835221402</v>
      </c>
      <c r="N28" s="38">
        <f t="shared" si="4"/>
        <v>7387.7555835221401</v>
      </c>
      <c r="O28" s="201">
        <f>+AVERAGE(M28:M29)</f>
        <v>7.4235053459089606</v>
      </c>
      <c r="P28" s="230">
        <f>+STDEVA(M28:M29)</f>
        <v>5.0557798819056296E-2</v>
      </c>
      <c r="Q28" s="201">
        <f>+(P28/O28)*100</f>
        <v>0.68105021096156859</v>
      </c>
      <c r="R28" s="2" t="s">
        <v>14</v>
      </c>
      <c r="S28" s="2" t="s">
        <v>15</v>
      </c>
      <c r="T28" s="2" t="s">
        <v>10</v>
      </c>
    </row>
    <row r="29" spans="1:20" x14ac:dyDescent="0.3">
      <c r="A29" s="31">
        <v>43340</v>
      </c>
      <c r="B29" s="15" t="s">
        <v>1014</v>
      </c>
      <c r="C29" s="2" t="s">
        <v>1015</v>
      </c>
      <c r="D29" s="9">
        <v>2.0007000000000001</v>
      </c>
      <c r="E29" s="15">
        <v>100</v>
      </c>
      <c r="F29" s="56">
        <f t="shared" si="3"/>
        <v>2.0007E-2</v>
      </c>
      <c r="G29" s="9">
        <v>0.86785259629232792</v>
      </c>
      <c r="H29" s="9">
        <v>-1.1163273436909482E-2</v>
      </c>
      <c r="I29" s="3">
        <v>1</v>
      </c>
      <c r="J29" s="63">
        <v>5.2</v>
      </c>
      <c r="K29" s="63">
        <f t="shared" si="0"/>
        <v>1.2839966563652008</v>
      </c>
      <c r="L29" s="16">
        <f t="shared" si="1"/>
        <v>1.4923731695167368</v>
      </c>
      <c r="M29" s="38">
        <f t="shared" si="2"/>
        <v>7.4592551082957801</v>
      </c>
      <c r="N29" s="38">
        <f t="shared" si="4"/>
        <v>7459.2551082957798</v>
      </c>
      <c r="O29" s="225"/>
      <c r="P29" s="230"/>
      <c r="Q29" s="201"/>
      <c r="R29" s="2" t="s">
        <v>14</v>
      </c>
      <c r="S29" s="2" t="s">
        <v>15</v>
      </c>
      <c r="T29" s="2" t="s">
        <v>10</v>
      </c>
    </row>
    <row r="30" spans="1:20" x14ac:dyDescent="0.3">
      <c r="A30" s="31">
        <v>43340</v>
      </c>
      <c r="B30" s="15" t="s">
        <v>1016</v>
      </c>
      <c r="C30" s="2" t="s">
        <v>1017</v>
      </c>
      <c r="D30" s="9">
        <v>2.0002</v>
      </c>
      <c r="E30" s="15">
        <v>100</v>
      </c>
      <c r="F30" s="56">
        <f t="shared" si="3"/>
        <v>2.0001999999999999E-2</v>
      </c>
      <c r="G30" s="9">
        <v>0.86785259629232792</v>
      </c>
      <c r="H30" s="9">
        <v>-1.1163273436909482E-2</v>
      </c>
      <c r="I30" s="3">
        <v>7</v>
      </c>
      <c r="J30" s="63">
        <v>35</v>
      </c>
      <c r="K30" s="63">
        <f t="shared" si="0"/>
        <v>0.45593195564972433</v>
      </c>
      <c r="L30" s="16">
        <f t="shared" si="1"/>
        <v>0.5382195445196285</v>
      </c>
      <c r="M30" s="38">
        <f t="shared" si="2"/>
        <v>0.38440409139059561</v>
      </c>
      <c r="N30" s="38">
        <f t="shared" si="4"/>
        <v>384.40409139059562</v>
      </c>
      <c r="O30" s="201">
        <f>+AVERAGE(M30:M31)</f>
        <v>0.38333804687867801</v>
      </c>
      <c r="P30" s="230">
        <f>+STDEVA(M30:M31)</f>
        <v>1.507614606847248E-3</v>
      </c>
      <c r="Q30" s="201">
        <f>+(P30/O30)*100</f>
        <v>0.39328593107910059</v>
      </c>
      <c r="R30" s="2" t="s">
        <v>14</v>
      </c>
      <c r="S30" s="2" t="s">
        <v>15</v>
      </c>
      <c r="T30" s="2" t="s">
        <v>10</v>
      </c>
    </row>
    <row r="31" spans="1:20" x14ac:dyDescent="0.3">
      <c r="A31" s="31">
        <v>43340</v>
      </c>
      <c r="B31" s="15" t="s">
        <v>1016</v>
      </c>
      <c r="C31" s="2" t="s">
        <v>1017</v>
      </c>
      <c r="D31" s="9">
        <v>2.0007000000000001</v>
      </c>
      <c r="E31" s="15">
        <v>100</v>
      </c>
      <c r="F31" s="56">
        <f t="shared" si="3"/>
        <v>2.0007E-2</v>
      </c>
      <c r="G31" s="9">
        <v>0.86785259629232792</v>
      </c>
      <c r="H31" s="9">
        <v>-1.1163273436909482E-2</v>
      </c>
      <c r="I31" s="3">
        <v>7</v>
      </c>
      <c r="J31" s="63">
        <v>35.200000000000003</v>
      </c>
      <c r="K31" s="63">
        <f t="shared" si="0"/>
        <v>0.45345733652186904</v>
      </c>
      <c r="L31" s="16">
        <f t="shared" si="1"/>
        <v>0.53536811659462435</v>
      </c>
      <c r="M31" s="38">
        <f t="shared" si="2"/>
        <v>0.38227200236676045</v>
      </c>
      <c r="N31" s="38">
        <f t="shared" si="4"/>
        <v>382.27200236676043</v>
      </c>
      <c r="O31" s="225"/>
      <c r="P31" s="230"/>
      <c r="Q31" s="201"/>
      <c r="R31" s="2" t="s">
        <v>14</v>
      </c>
      <c r="S31" s="2" t="s">
        <v>15</v>
      </c>
      <c r="T31" s="2" t="s">
        <v>10</v>
      </c>
    </row>
    <row r="32" spans="1:20" x14ac:dyDescent="0.3">
      <c r="A32" s="31">
        <v>43346</v>
      </c>
      <c r="B32" s="15" t="s">
        <v>1007</v>
      </c>
      <c r="C32" s="2" t="s">
        <v>1006</v>
      </c>
      <c r="D32" s="9">
        <v>2.0001000000000002</v>
      </c>
      <c r="E32" s="15">
        <v>100</v>
      </c>
      <c r="F32" s="56">
        <f t="shared" si="3"/>
        <v>2.0001000000000001E-2</v>
      </c>
      <c r="G32" s="9">
        <v>0.86785259629232792</v>
      </c>
      <c r="H32" s="9">
        <v>-1.1163273436909482E-2</v>
      </c>
      <c r="I32" s="3">
        <v>2</v>
      </c>
      <c r="J32" s="63">
        <v>16.600000000000001</v>
      </c>
      <c r="K32" s="63">
        <f t="shared" si="0"/>
        <v>0.77989191195994478</v>
      </c>
      <c r="L32" s="16">
        <f t="shared" si="1"/>
        <v>0.91150869257801337</v>
      </c>
      <c r="M32" s="38">
        <f t="shared" si="2"/>
        <v>2.2786577985551055</v>
      </c>
      <c r="N32" s="38">
        <f t="shared" si="4"/>
        <v>2278.6577985551057</v>
      </c>
      <c r="O32" s="201">
        <f>+AVERAGE(M32:M33)</f>
        <v>2.2784299897274569</v>
      </c>
      <c r="P32" s="230">
        <f>+STDEVA(M32:M33)</f>
        <v>3.2217033368898247E-4</v>
      </c>
      <c r="Q32" s="201">
        <f>+(P32/O32)*100</f>
        <v>1.4140014621538586E-2</v>
      </c>
      <c r="R32" s="2" t="s">
        <v>14</v>
      </c>
      <c r="S32" s="2" t="s">
        <v>15</v>
      </c>
      <c r="T32" s="2" t="s">
        <v>10</v>
      </c>
    </row>
    <row r="33" spans="1:20" x14ac:dyDescent="0.3">
      <c r="A33" s="31">
        <v>43346</v>
      </c>
      <c r="B33" s="15" t="s">
        <v>1007</v>
      </c>
      <c r="C33" s="2" t="s">
        <v>1006</v>
      </c>
      <c r="D33" s="9">
        <v>2.0005000000000002</v>
      </c>
      <c r="E33" s="15">
        <v>100</v>
      </c>
      <c r="F33" s="56">
        <f t="shared" si="3"/>
        <v>2.0005000000000002E-2</v>
      </c>
      <c r="G33" s="9">
        <v>0.86785259629232792</v>
      </c>
      <c r="H33" s="9">
        <v>-1.1163273436909482E-2</v>
      </c>
      <c r="I33" s="3">
        <v>2</v>
      </c>
      <c r="J33" s="63">
        <v>16.600000000000001</v>
      </c>
      <c r="K33" s="63">
        <f t="shared" si="0"/>
        <v>0.77989191195994478</v>
      </c>
      <c r="L33" s="16">
        <f t="shared" si="1"/>
        <v>0.91150869257801337</v>
      </c>
      <c r="M33" s="38">
        <f t="shared" si="2"/>
        <v>2.2782021808998083</v>
      </c>
      <c r="N33" s="38">
        <f t="shared" si="4"/>
        <v>2278.2021808998084</v>
      </c>
      <c r="O33" s="225"/>
      <c r="P33" s="230"/>
      <c r="Q33" s="201"/>
      <c r="R33" s="2" t="s">
        <v>14</v>
      </c>
      <c r="S33" s="2" t="s">
        <v>15</v>
      </c>
      <c r="T33" s="2" t="s">
        <v>10</v>
      </c>
    </row>
    <row r="34" spans="1:20" x14ac:dyDescent="0.3">
      <c r="A34" s="31">
        <v>43346</v>
      </c>
      <c r="B34" s="15" t="s">
        <v>1008</v>
      </c>
      <c r="C34" s="2" t="s">
        <v>1009</v>
      </c>
      <c r="D34" s="9">
        <v>2.0003000000000002</v>
      </c>
      <c r="E34" s="15">
        <v>100</v>
      </c>
      <c r="F34" s="56">
        <f t="shared" si="3"/>
        <v>2.0003000000000003E-2</v>
      </c>
      <c r="G34" s="9">
        <v>0.86785259629232792</v>
      </c>
      <c r="H34" s="9">
        <v>-1.1163273436909482E-2</v>
      </c>
      <c r="I34" s="3">
        <v>5</v>
      </c>
      <c r="J34" s="63">
        <v>75.5</v>
      </c>
      <c r="K34" s="63">
        <f t="shared" si="0"/>
        <v>0.12205304837081177</v>
      </c>
      <c r="L34" s="16">
        <f t="shared" si="1"/>
        <v>0.15350109267040621</v>
      </c>
      <c r="M34" s="38">
        <f t="shared" si="2"/>
        <v>0.15347807095976224</v>
      </c>
      <c r="N34" s="38">
        <f t="shared" si="4"/>
        <v>153.47807095976225</v>
      </c>
      <c r="O34" s="201">
        <f>+AVERAGE(M34:M35)</f>
        <v>0.15279722132019186</v>
      </c>
      <c r="P34" s="230">
        <f>+STDEVA(M34:M35)</f>
        <v>9.6286679421724529E-4</v>
      </c>
      <c r="Q34" s="201">
        <f>+(P34/O34)*100</f>
        <v>0.63015988504105369</v>
      </c>
      <c r="R34" s="2" t="s">
        <v>14</v>
      </c>
      <c r="S34" s="2" t="s">
        <v>15</v>
      </c>
      <c r="T34" s="2" t="s">
        <v>10</v>
      </c>
    </row>
    <row r="35" spans="1:20" x14ac:dyDescent="0.3">
      <c r="A35" s="31">
        <v>43346</v>
      </c>
      <c r="B35" s="15" t="s">
        <v>1008</v>
      </c>
      <c r="C35" s="2" t="s">
        <v>1009</v>
      </c>
      <c r="D35" s="9">
        <v>2.0007999999999999</v>
      </c>
      <c r="E35" s="15">
        <v>100</v>
      </c>
      <c r="F35" s="56">
        <f t="shared" si="3"/>
        <v>2.0007999999999998E-2</v>
      </c>
      <c r="G35" s="9">
        <v>0.86785259629232792</v>
      </c>
      <c r="H35" s="9">
        <v>-1.1163273436909482E-2</v>
      </c>
      <c r="I35" s="3">
        <v>5</v>
      </c>
      <c r="J35" s="63">
        <v>75.7</v>
      </c>
      <c r="K35" s="63">
        <f t="shared" si="0"/>
        <v>0.12090412049992727</v>
      </c>
      <c r="L35" s="16">
        <f t="shared" si="1"/>
        <v>0.15217721822929375</v>
      </c>
      <c r="M35" s="38">
        <f t="shared" si="2"/>
        <v>0.1521163716806215</v>
      </c>
      <c r="N35" s="38">
        <f t="shared" si="4"/>
        <v>152.11637168062151</v>
      </c>
      <c r="O35" s="225"/>
      <c r="P35" s="230"/>
      <c r="Q35" s="201"/>
      <c r="R35" s="2" t="s">
        <v>14</v>
      </c>
      <c r="S35" s="2" t="s">
        <v>15</v>
      </c>
      <c r="T35" s="2" t="s">
        <v>10</v>
      </c>
    </row>
    <row r="36" spans="1:20" x14ac:dyDescent="0.3">
      <c r="A36" s="31">
        <v>43346</v>
      </c>
      <c r="B36" s="15" t="s">
        <v>1010</v>
      </c>
      <c r="C36" s="2" t="s">
        <v>1011</v>
      </c>
      <c r="D36" s="9">
        <v>2.0003000000000002</v>
      </c>
      <c r="E36" s="15">
        <v>100</v>
      </c>
      <c r="F36" s="56">
        <f t="shared" si="3"/>
        <v>2.0003000000000003E-2</v>
      </c>
      <c r="G36" s="9">
        <v>0.86785259629232792</v>
      </c>
      <c r="H36" s="9">
        <v>-1.1163273436909482E-2</v>
      </c>
      <c r="I36" s="3">
        <v>0.5</v>
      </c>
      <c r="J36" s="63">
        <v>43.8</v>
      </c>
      <c r="K36" s="63">
        <f t="shared" si="0"/>
        <v>0.35852588949590047</v>
      </c>
      <c r="L36" s="16">
        <f t="shared" si="1"/>
        <v>0.42598151404075962</v>
      </c>
      <c r="M36" s="38">
        <f t="shared" si="2"/>
        <v>4.2591762639680004</v>
      </c>
      <c r="N36" s="38">
        <f t="shared" si="4"/>
        <v>4259.1762639680001</v>
      </c>
      <c r="O36" s="201">
        <f>+AVERAGE(M36:M37)</f>
        <v>4.4424718601532049</v>
      </c>
      <c r="P36" s="230">
        <f>+STDEVA(M36:M37)</f>
        <v>0.25921911804837777</v>
      </c>
      <c r="Q36" s="201">
        <f>+(P36/O36)*100</f>
        <v>5.8350199215316634</v>
      </c>
      <c r="R36" s="2" t="s">
        <v>14</v>
      </c>
      <c r="S36" s="2" t="s">
        <v>15</v>
      </c>
      <c r="T36" s="2" t="s">
        <v>10</v>
      </c>
    </row>
    <row r="37" spans="1:20" x14ac:dyDescent="0.3">
      <c r="A37" s="31">
        <v>43346</v>
      </c>
      <c r="B37" s="15" t="s">
        <v>1010</v>
      </c>
      <c r="C37" s="2" t="s">
        <v>1011</v>
      </c>
      <c r="D37" s="9">
        <v>2.0005999999999999</v>
      </c>
      <c r="E37" s="15">
        <v>100</v>
      </c>
      <c r="F37" s="56">
        <f t="shared" si="3"/>
        <v>2.0005999999999999E-2</v>
      </c>
      <c r="G37" s="9">
        <v>0.86785259629232792</v>
      </c>
      <c r="H37" s="9">
        <v>-1.1163273436909482E-2</v>
      </c>
      <c r="I37" s="3">
        <v>0.5</v>
      </c>
      <c r="J37" s="63">
        <v>40.700000000000003</v>
      </c>
      <c r="K37" s="63">
        <f t="shared" si="0"/>
        <v>0.39040559077477988</v>
      </c>
      <c r="L37" s="16">
        <f t="shared" si="1"/>
        <v>0.46271551865753097</v>
      </c>
      <c r="M37" s="38">
        <f t="shared" si="2"/>
        <v>4.6257674563384086</v>
      </c>
      <c r="N37" s="38">
        <f t="shared" si="4"/>
        <v>4625.7674563384089</v>
      </c>
      <c r="O37" s="225"/>
      <c r="P37" s="230"/>
      <c r="Q37" s="201"/>
      <c r="R37" s="2" t="s">
        <v>14</v>
      </c>
      <c r="S37" s="2" t="s">
        <v>15</v>
      </c>
      <c r="T37" s="2" t="s">
        <v>10</v>
      </c>
    </row>
    <row r="38" spans="1:20" x14ac:dyDescent="0.3">
      <c r="A38" s="31">
        <v>43346</v>
      </c>
      <c r="B38" s="15" t="s">
        <v>1012</v>
      </c>
      <c r="C38" s="2" t="s">
        <v>1013</v>
      </c>
      <c r="D38" s="9">
        <v>2.0009000000000001</v>
      </c>
      <c r="E38" s="15">
        <v>100</v>
      </c>
      <c r="F38" s="56">
        <f t="shared" si="3"/>
        <v>2.0009000000000002E-2</v>
      </c>
      <c r="G38" s="9">
        <v>0.86785259629232792</v>
      </c>
      <c r="H38" s="9">
        <v>-1.1163273436909482E-2</v>
      </c>
      <c r="I38" s="3">
        <v>1</v>
      </c>
      <c r="J38" s="63">
        <v>8.67</v>
      </c>
      <c r="K38" s="63">
        <f t="shared" si="0"/>
        <v>1.0619809025237896</v>
      </c>
      <c r="L38" s="16">
        <f t="shared" si="1"/>
        <v>1.2365512075961118</v>
      </c>
      <c r="M38" s="38">
        <f t="shared" si="2"/>
        <v>6.1799750492084149</v>
      </c>
      <c r="N38" s="38">
        <f t="shared" si="4"/>
        <v>6179.9750492084149</v>
      </c>
      <c r="O38" s="201">
        <f>+AVERAGE(M38:M39)</f>
        <v>6.178687918473555</v>
      </c>
      <c r="P38" s="230">
        <f>+STDEVA(M38:M39)</f>
        <v>1.8202777417860691E-3</v>
      </c>
      <c r="Q38" s="201">
        <f>+(P38/O38)*100</f>
        <v>2.9460587195926362E-2</v>
      </c>
      <c r="R38" s="2" t="s">
        <v>14</v>
      </c>
      <c r="S38" s="2" t="s">
        <v>15</v>
      </c>
      <c r="T38" s="2" t="s">
        <v>10</v>
      </c>
    </row>
    <row r="39" spans="1:20" x14ac:dyDescent="0.3">
      <c r="A39" s="31">
        <v>43346</v>
      </c>
      <c r="B39" s="15" t="s">
        <v>1012</v>
      </c>
      <c r="C39" s="2" t="s">
        <v>1013</v>
      </c>
      <c r="D39" s="9">
        <v>2.0007999999999999</v>
      </c>
      <c r="E39" s="15">
        <v>100</v>
      </c>
      <c r="F39" s="56">
        <f t="shared" si="3"/>
        <v>2.0007999999999998E-2</v>
      </c>
      <c r="G39" s="9">
        <v>0.86785259629232792</v>
      </c>
      <c r="H39" s="9">
        <v>-1.1163273436909482E-2</v>
      </c>
      <c r="I39" s="3">
        <v>1</v>
      </c>
      <c r="J39" s="63">
        <v>8.68</v>
      </c>
      <c r="K39" s="63">
        <f t="shared" si="0"/>
        <v>1.0614802748235082</v>
      </c>
      <c r="L39" s="16">
        <f t="shared" si="1"/>
        <v>1.235974349610758</v>
      </c>
      <c r="M39" s="38">
        <f t="shared" si="2"/>
        <v>6.1774007877386952</v>
      </c>
      <c r="N39" s="38">
        <f t="shared" si="4"/>
        <v>6177.4007877386948</v>
      </c>
      <c r="O39" s="225"/>
      <c r="P39" s="230"/>
      <c r="Q39" s="201"/>
      <c r="R39" s="2" t="s">
        <v>14</v>
      </c>
      <c r="S39" s="2" t="s">
        <v>15</v>
      </c>
      <c r="T39" s="2" t="s">
        <v>10</v>
      </c>
    </row>
    <row r="40" spans="1:20" x14ac:dyDescent="0.3">
      <c r="A40" s="31">
        <v>43346</v>
      </c>
      <c r="B40" s="15" t="s">
        <v>1014</v>
      </c>
      <c r="C40" s="2" t="s">
        <v>1015</v>
      </c>
      <c r="D40" s="9">
        <v>2.0009000000000001</v>
      </c>
      <c r="E40" s="15">
        <v>100</v>
      </c>
      <c r="F40" s="56">
        <f t="shared" si="3"/>
        <v>2.0009000000000002E-2</v>
      </c>
      <c r="G40" s="9">
        <v>0.86785259629232792</v>
      </c>
      <c r="H40" s="9">
        <v>-1.1163273436909482E-2</v>
      </c>
      <c r="I40" s="3">
        <v>0.5</v>
      </c>
      <c r="J40" s="63">
        <v>69.2</v>
      </c>
      <c r="K40" s="63">
        <f t="shared" si="0"/>
        <v>0.15989390554324223</v>
      </c>
      <c r="L40" s="16">
        <f t="shared" ref="L40:L65" si="5">+(K40-H40)/G40</f>
        <v>0.19710395487776214</v>
      </c>
      <c r="M40" s="38">
        <f t="shared" ref="M40:M65" si="6">+(L40*100*100)/(D40*I40*1000)</f>
        <v>1.9701529799366497</v>
      </c>
      <c r="N40" s="38">
        <f t="shared" si="4"/>
        <v>1970.1529799366497</v>
      </c>
      <c r="O40" s="201">
        <f>+AVERAGE(M40:M41)</f>
        <v>1.9665904866729615</v>
      </c>
      <c r="P40" s="230">
        <f>+STDEVA(M40:M41)</f>
        <v>5.0381262893706182E-3</v>
      </c>
      <c r="Q40" s="201">
        <f>+(P40/O40)*100</f>
        <v>0.25618583652837756</v>
      </c>
      <c r="R40" s="2" t="s">
        <v>14</v>
      </c>
      <c r="S40" s="2" t="s">
        <v>15</v>
      </c>
      <c r="T40" s="2" t="s">
        <v>10</v>
      </c>
    </row>
    <row r="41" spans="1:20" x14ac:dyDescent="0.3">
      <c r="A41" s="31">
        <v>43346</v>
      </c>
      <c r="B41" s="15" t="s">
        <v>1014</v>
      </c>
      <c r="C41" s="2" t="s">
        <v>1015</v>
      </c>
      <c r="D41" s="9">
        <v>2.0007999999999999</v>
      </c>
      <c r="E41" s="15">
        <v>100</v>
      </c>
      <c r="F41" s="56">
        <f t="shared" si="3"/>
        <v>2.0007999999999998E-2</v>
      </c>
      <c r="G41" s="9">
        <v>0.86785259629232792</v>
      </c>
      <c r="H41" s="9">
        <v>-1.1163273436909482E-2</v>
      </c>
      <c r="I41" s="3">
        <v>0.5</v>
      </c>
      <c r="J41" s="63">
        <v>69.3</v>
      </c>
      <c r="K41" s="63">
        <f t="shared" si="0"/>
        <v>0.15926676538819318</v>
      </c>
      <c r="L41" s="16">
        <f t="shared" si="5"/>
        <v>0.1963813204606637</v>
      </c>
      <c r="M41" s="38">
        <f t="shared" si="6"/>
        <v>1.9630279934092734</v>
      </c>
      <c r="N41" s="38">
        <f t="shared" si="4"/>
        <v>1963.0279934092734</v>
      </c>
      <c r="O41" s="225"/>
      <c r="P41" s="230"/>
      <c r="Q41" s="201"/>
      <c r="R41" s="2" t="s">
        <v>14</v>
      </c>
      <c r="S41" s="2" t="s">
        <v>15</v>
      </c>
      <c r="T41" s="2" t="s">
        <v>10</v>
      </c>
    </row>
    <row r="42" spans="1:20" x14ac:dyDescent="0.3">
      <c r="A42" s="31">
        <v>43346</v>
      </c>
      <c r="B42" s="15" t="s">
        <v>1016</v>
      </c>
      <c r="C42" s="2" t="s">
        <v>1017</v>
      </c>
      <c r="D42" s="9">
        <v>2.0005000000000002</v>
      </c>
      <c r="E42" s="15">
        <v>100</v>
      </c>
      <c r="F42" s="56">
        <f t="shared" si="3"/>
        <v>2.0005000000000002E-2</v>
      </c>
      <c r="G42" s="9">
        <v>0.86785259629232792</v>
      </c>
      <c r="H42" s="9">
        <v>-1.1163273436909482E-2</v>
      </c>
      <c r="I42" s="3">
        <v>0.5</v>
      </c>
      <c r="J42" s="63">
        <v>20.2</v>
      </c>
      <c r="K42" s="63">
        <f>2-LOG10(J42)</f>
        <v>0.69464863055337633</v>
      </c>
      <c r="L42" s="16">
        <f t="shared" si="5"/>
        <v>0.81328546691648052</v>
      </c>
      <c r="M42" s="38">
        <f t="shared" si="6"/>
        <v>8.1308219636738865</v>
      </c>
      <c r="N42" s="38">
        <f t="shared" si="4"/>
        <v>8130.8219636738868</v>
      </c>
      <c r="O42" s="201">
        <f>+AVERAGE(M42:M43)</f>
        <v>8.1306187540876707</v>
      </c>
      <c r="P42" s="230">
        <f>+STDEVA(M42:M43)</f>
        <v>2.8738175282948193E-4</v>
      </c>
      <c r="Q42" s="201">
        <f>+(P42/O42)*100</f>
        <v>3.5345619013928144E-3</v>
      </c>
      <c r="R42" s="2" t="s">
        <v>14</v>
      </c>
      <c r="S42" s="2" t="s">
        <v>15</v>
      </c>
      <c r="T42" s="2" t="s">
        <v>10</v>
      </c>
    </row>
    <row r="43" spans="1:20" x14ac:dyDescent="0.3">
      <c r="A43" s="31">
        <v>43346</v>
      </c>
      <c r="B43" s="15" t="s">
        <v>1016</v>
      </c>
      <c r="C43" s="2" t="s">
        <v>1017</v>
      </c>
      <c r="D43" s="9">
        <v>2.0005999999999999</v>
      </c>
      <c r="E43" s="15">
        <v>100</v>
      </c>
      <c r="F43" s="56">
        <f t="shared" si="3"/>
        <v>2.0005999999999999E-2</v>
      </c>
      <c r="G43" s="9">
        <v>0.86785259629232792</v>
      </c>
      <c r="H43" s="9">
        <v>-1.1163273436909482E-2</v>
      </c>
      <c r="I43" s="3">
        <v>0.5</v>
      </c>
      <c r="J43" s="63">
        <v>20.2</v>
      </c>
      <c r="K43" s="63">
        <f t="shared" si="0"/>
        <v>0.69464863055337633</v>
      </c>
      <c r="L43" s="16">
        <f t="shared" si="5"/>
        <v>0.81328546691648052</v>
      </c>
      <c r="M43" s="38">
        <f t="shared" si="6"/>
        <v>8.1304155445014565</v>
      </c>
      <c r="N43" s="38">
        <f t="shared" si="4"/>
        <v>8130.4155445014567</v>
      </c>
      <c r="O43" s="225"/>
      <c r="P43" s="230"/>
      <c r="Q43" s="201"/>
      <c r="R43" s="2" t="s">
        <v>14</v>
      </c>
      <c r="S43" s="2" t="s">
        <v>15</v>
      </c>
      <c r="T43" s="2" t="s">
        <v>10</v>
      </c>
    </row>
    <row r="44" spans="1:20" x14ac:dyDescent="0.3">
      <c r="A44" s="31">
        <v>43361</v>
      </c>
      <c r="B44" s="15" t="s">
        <v>1007</v>
      </c>
      <c r="C44" s="2" t="s">
        <v>1006</v>
      </c>
      <c r="D44" s="9">
        <v>2.0009000000000001</v>
      </c>
      <c r="E44" s="15">
        <v>100</v>
      </c>
      <c r="F44" s="56">
        <f t="shared" si="3"/>
        <v>2.0009000000000002E-2</v>
      </c>
      <c r="G44" s="9">
        <v>0.88670000000000004</v>
      </c>
      <c r="H44" s="9">
        <v>-8.3999999999999995E-3</v>
      </c>
      <c r="I44" s="63">
        <v>2.5</v>
      </c>
      <c r="J44" s="63">
        <v>4.9800000000000004</v>
      </c>
      <c r="K44" s="63">
        <f>2-LOG10(J44)</f>
        <v>1.3027706572402824</v>
      </c>
      <c r="L44" s="16">
        <f t="shared" si="5"/>
        <v>1.4787083086052581</v>
      </c>
      <c r="M44" s="38">
        <f t="shared" si="6"/>
        <v>2.9560863783402631</v>
      </c>
      <c r="N44" s="38">
        <f t="shared" ref="N44:N52" si="7">+M44*1000</f>
        <v>2956.0863783402633</v>
      </c>
      <c r="O44" s="201">
        <f>+AVERAGE(M44:M45)</f>
        <v>2.947391212526103</v>
      </c>
      <c r="P44" s="230">
        <f>+STDEVA(M44:M45)</f>
        <v>1.2296821421467761E-2</v>
      </c>
      <c r="Q44" s="201">
        <f>+(P44/O44)*100</f>
        <v>0.41721035772949183</v>
      </c>
      <c r="R44" s="2" t="s">
        <v>14</v>
      </c>
      <c r="S44" s="2" t="s">
        <v>15</v>
      </c>
      <c r="T44" s="2" t="s">
        <v>10</v>
      </c>
    </row>
    <row r="45" spans="1:20" x14ac:dyDescent="0.3">
      <c r="A45" s="31">
        <v>43361</v>
      </c>
      <c r="B45" s="15" t="s">
        <v>1007</v>
      </c>
      <c r="C45" s="2" t="s">
        <v>1006</v>
      </c>
      <c r="D45" s="9">
        <v>2.0007999999999999</v>
      </c>
      <c r="E45" s="15">
        <v>100</v>
      </c>
      <c r="F45" s="56">
        <f t="shared" si="3"/>
        <v>2.0007999999999998E-2</v>
      </c>
      <c r="G45" s="9">
        <v>0.88670000000000004</v>
      </c>
      <c r="H45" s="9">
        <v>-8.3999999999999995E-3</v>
      </c>
      <c r="I45" s="63">
        <v>2.5</v>
      </c>
      <c r="J45" s="63">
        <v>5.07</v>
      </c>
      <c r="K45" s="63">
        <f>2-LOG10(J45)</f>
        <v>1.294992040666664</v>
      </c>
      <c r="L45" s="16">
        <f t="shared" si="5"/>
        <v>1.469935762565314</v>
      </c>
      <c r="M45" s="38">
        <f t="shared" si="6"/>
        <v>2.9386960467119434</v>
      </c>
      <c r="N45" s="38">
        <f t="shared" si="7"/>
        <v>2938.6960467119434</v>
      </c>
      <c r="O45" s="225"/>
      <c r="P45" s="230"/>
      <c r="Q45" s="201"/>
      <c r="R45" s="2" t="s">
        <v>14</v>
      </c>
      <c r="S45" s="2" t="s">
        <v>15</v>
      </c>
      <c r="T45" s="2" t="s">
        <v>10</v>
      </c>
    </row>
    <row r="46" spans="1:20" x14ac:dyDescent="0.3">
      <c r="A46" s="31">
        <v>43361</v>
      </c>
      <c r="B46" s="15" t="s">
        <v>1008</v>
      </c>
      <c r="C46" s="2" t="s">
        <v>1009</v>
      </c>
      <c r="D46" s="9">
        <v>2</v>
      </c>
      <c r="E46" s="15">
        <v>100</v>
      </c>
      <c r="F46" s="56">
        <f t="shared" si="3"/>
        <v>0.02</v>
      </c>
      <c r="G46" s="9">
        <v>0.88670000000000004</v>
      </c>
      <c r="H46" s="9">
        <v>-8.3999999999999995E-3</v>
      </c>
      <c r="I46" s="63">
        <v>5</v>
      </c>
      <c r="J46" s="63">
        <v>10.4</v>
      </c>
      <c r="K46" s="63">
        <f>2-LOG10(J46)</f>
        <v>0.98296666070121974</v>
      </c>
      <c r="L46" s="16">
        <f t="shared" si="5"/>
        <v>1.1180406684348931</v>
      </c>
      <c r="M46" s="38">
        <f t="shared" si="6"/>
        <v>1.1180406684348931</v>
      </c>
      <c r="N46" s="38">
        <f t="shared" si="7"/>
        <v>1118.0406684348932</v>
      </c>
      <c r="O46" s="201">
        <f>+AVERAGE(M46:M47)</f>
        <v>1.1179847719911158</v>
      </c>
      <c r="P46" s="230">
        <f>+STDEVA(M46:M47)</f>
        <v>7.904950887835064E-5</v>
      </c>
      <c r="Q46" s="201">
        <f>+(P46/O46)*100</f>
        <v>7.0707142761492646E-3</v>
      </c>
      <c r="R46" s="2" t="s">
        <v>14</v>
      </c>
      <c r="S46" s="2" t="s">
        <v>15</v>
      </c>
      <c r="T46" s="2" t="s">
        <v>10</v>
      </c>
    </row>
    <row r="47" spans="1:20" x14ac:dyDescent="0.3">
      <c r="A47" s="31">
        <v>43361</v>
      </c>
      <c r="B47" s="15" t="s">
        <v>1008</v>
      </c>
      <c r="C47" s="2" t="s">
        <v>1009</v>
      </c>
      <c r="D47" s="9">
        <v>2.0002</v>
      </c>
      <c r="E47" s="15">
        <v>100</v>
      </c>
      <c r="F47" s="56">
        <f t="shared" si="3"/>
        <v>2.0001999999999999E-2</v>
      </c>
      <c r="G47" s="9">
        <v>0.88670000000000004</v>
      </c>
      <c r="H47" s="9">
        <v>-8.3999999999999995E-3</v>
      </c>
      <c r="I47" s="63">
        <v>5</v>
      </c>
      <c r="J47" s="63">
        <v>10.4</v>
      </c>
      <c r="K47" s="63">
        <f>2-LOG10(J47)</f>
        <v>0.98296666070121974</v>
      </c>
      <c r="L47" s="16">
        <f t="shared" si="5"/>
        <v>1.1180406684348931</v>
      </c>
      <c r="M47" s="38">
        <f t="shared" si="6"/>
        <v>1.1179288755473384</v>
      </c>
      <c r="N47" s="38">
        <f t="shared" si="7"/>
        <v>1117.9288755473385</v>
      </c>
      <c r="O47" s="225"/>
      <c r="P47" s="230"/>
      <c r="Q47" s="201"/>
      <c r="R47" s="2" t="s">
        <v>14</v>
      </c>
      <c r="S47" s="2" t="s">
        <v>15</v>
      </c>
      <c r="T47" s="2" t="s">
        <v>10</v>
      </c>
    </row>
    <row r="48" spans="1:20" x14ac:dyDescent="0.3">
      <c r="A48" s="31">
        <v>43361</v>
      </c>
      <c r="B48" s="15" t="s">
        <v>1010</v>
      </c>
      <c r="C48" s="2" t="s">
        <v>1011</v>
      </c>
      <c r="D48" s="3">
        <v>2.0001000000000002</v>
      </c>
      <c r="E48" s="15">
        <v>100</v>
      </c>
      <c r="F48" s="56">
        <f t="shared" si="3"/>
        <v>2.0001000000000001E-2</v>
      </c>
      <c r="G48" s="9">
        <v>0.88670000000000004</v>
      </c>
      <c r="H48" s="9">
        <v>-8.3999999999999995E-3</v>
      </c>
      <c r="I48" s="63">
        <v>0.5</v>
      </c>
      <c r="J48" s="63">
        <v>34</v>
      </c>
      <c r="K48" s="63">
        <f>2-LOG10(J48)</f>
        <v>0.46852108295774486</v>
      </c>
      <c r="L48" s="16">
        <f t="shared" si="5"/>
        <v>0.53786070030195654</v>
      </c>
      <c r="M48" s="38">
        <f t="shared" si="6"/>
        <v>5.3783380861152592</v>
      </c>
      <c r="N48" s="38">
        <f t="shared" si="7"/>
        <v>5378.3380861152591</v>
      </c>
      <c r="O48" s="201">
        <f>+AVERAGE(M48:M49)</f>
        <v>5.385685913458655</v>
      </c>
      <c r="P48" s="230">
        <f>+STDEVA(M48:M49)</f>
        <v>1.0391397083006817E-2</v>
      </c>
      <c r="Q48" s="201">
        <f>+(P48/O48)*100</f>
        <v>0.19294472886060904</v>
      </c>
      <c r="R48" s="2" t="s">
        <v>14</v>
      </c>
      <c r="S48" s="2" t="s">
        <v>15</v>
      </c>
      <c r="T48" s="2" t="s">
        <v>10</v>
      </c>
    </row>
    <row r="49" spans="1:20" x14ac:dyDescent="0.3">
      <c r="A49" s="31">
        <v>43361</v>
      </c>
      <c r="B49" s="15" t="s">
        <v>1010</v>
      </c>
      <c r="C49" s="2" t="s">
        <v>1011</v>
      </c>
      <c r="D49" s="9">
        <v>2</v>
      </c>
      <c r="E49" s="15">
        <v>100</v>
      </c>
      <c r="F49" s="56">
        <f t="shared" si="3"/>
        <v>0.02</v>
      </c>
      <c r="G49" s="9">
        <v>0.88670000000000004</v>
      </c>
      <c r="H49" s="9">
        <v>-8.3999999999999995E-3</v>
      </c>
      <c r="I49" s="63">
        <v>0.5</v>
      </c>
      <c r="J49" s="63">
        <v>33.9</v>
      </c>
      <c r="K49" s="63">
        <f t="shared" ref="K49:K59" si="8">2-LOG10(J49)</f>
        <v>0.4698003017969179</v>
      </c>
      <c r="L49" s="16">
        <f t="shared" si="5"/>
        <v>0.53930337408020512</v>
      </c>
      <c r="M49" s="38">
        <f t="shared" si="6"/>
        <v>5.3930337408020517</v>
      </c>
      <c r="N49" s="38">
        <f t="shared" si="7"/>
        <v>5393.0337408020514</v>
      </c>
      <c r="O49" s="225"/>
      <c r="P49" s="230"/>
      <c r="Q49" s="201"/>
      <c r="R49" s="2" t="s">
        <v>14</v>
      </c>
      <c r="S49" s="2" t="s">
        <v>15</v>
      </c>
      <c r="T49" s="2" t="s">
        <v>10</v>
      </c>
    </row>
    <row r="50" spans="1:20" x14ac:dyDescent="0.3">
      <c r="A50" s="31">
        <v>43361</v>
      </c>
      <c r="B50" s="15" t="s">
        <v>1012</v>
      </c>
      <c r="C50" s="2" t="s">
        <v>1013</v>
      </c>
      <c r="D50" s="3">
        <v>2.0005999999999999</v>
      </c>
      <c r="E50" s="15">
        <v>100</v>
      </c>
      <c r="F50" s="56">
        <f t="shared" si="3"/>
        <v>2.0005999999999999E-2</v>
      </c>
      <c r="G50" s="9">
        <v>0.88670000000000004</v>
      </c>
      <c r="H50" s="9">
        <v>-8.3999999999999995E-3</v>
      </c>
      <c r="I50" s="63">
        <v>1</v>
      </c>
      <c r="J50" s="63">
        <v>8.51</v>
      </c>
      <c r="K50" s="63">
        <f t="shared" si="8"/>
        <v>1.0700704399154122</v>
      </c>
      <c r="L50" s="16">
        <f t="shared" si="5"/>
        <v>1.21627432041887</v>
      </c>
      <c r="M50" s="38">
        <f t="shared" si="6"/>
        <v>6.0795477377730176</v>
      </c>
      <c r="N50" s="38">
        <f t="shared" si="7"/>
        <v>6079.5477377730176</v>
      </c>
      <c r="O50" s="201">
        <f>+AVERAGE(M50:M51)</f>
        <v>6.0899632935434322</v>
      </c>
      <c r="P50" s="230">
        <f>+STDEVA(M50:M51)</f>
        <v>1.4729820230173109E-2</v>
      </c>
      <c r="Q50" s="201">
        <f>+(P50/O50)*100</f>
        <v>0.24187042713031845</v>
      </c>
      <c r="R50" s="2" t="s">
        <v>14</v>
      </c>
      <c r="S50" s="2" t="s">
        <v>15</v>
      </c>
      <c r="T50" s="2" t="s">
        <v>10</v>
      </c>
    </row>
    <row r="51" spans="1:20" x14ac:dyDescent="0.3">
      <c r="A51" s="31">
        <v>43361</v>
      </c>
      <c r="B51" s="15" t="s">
        <v>1012</v>
      </c>
      <c r="C51" s="2" t="s">
        <v>1013</v>
      </c>
      <c r="D51" s="9">
        <v>2.0004</v>
      </c>
      <c r="E51" s="15">
        <v>100</v>
      </c>
      <c r="F51" s="56">
        <f t="shared" si="3"/>
        <v>2.0004000000000001E-2</v>
      </c>
      <c r="G51" s="9">
        <v>0.88670000000000004</v>
      </c>
      <c r="H51" s="9">
        <v>-8.3999999999999995E-3</v>
      </c>
      <c r="I51" s="63">
        <v>1</v>
      </c>
      <c r="J51" s="63">
        <v>8.44</v>
      </c>
      <c r="K51" s="63">
        <f t="shared" si="8"/>
        <v>1.0736575533743449</v>
      </c>
      <c r="L51" s="16">
        <f t="shared" si="5"/>
        <v>1.2203197850167415</v>
      </c>
      <c r="M51" s="38">
        <f t="shared" si="6"/>
        <v>6.100378849313846</v>
      </c>
      <c r="N51" s="38">
        <f t="shared" si="7"/>
        <v>6100.3788493138463</v>
      </c>
      <c r="O51" s="225"/>
      <c r="P51" s="230"/>
      <c r="Q51" s="201"/>
      <c r="R51" s="2" t="s">
        <v>14</v>
      </c>
      <c r="S51" s="2" t="s">
        <v>15</v>
      </c>
      <c r="T51" s="2" t="s">
        <v>10</v>
      </c>
    </row>
    <row r="52" spans="1:20" x14ac:dyDescent="0.3">
      <c r="A52" s="31">
        <v>43361</v>
      </c>
      <c r="B52" s="15" t="s">
        <v>1014</v>
      </c>
      <c r="C52" s="2" t="s">
        <v>1015</v>
      </c>
      <c r="D52" s="3">
        <v>2.0005000000000002</v>
      </c>
      <c r="E52" s="15">
        <v>100</v>
      </c>
      <c r="F52" s="56">
        <f t="shared" si="3"/>
        <v>2.0005000000000002E-2</v>
      </c>
      <c r="G52" s="9">
        <v>0.88670000000000004</v>
      </c>
      <c r="H52" s="9">
        <v>-8.3999999999999995E-3</v>
      </c>
      <c r="I52" s="63">
        <v>1</v>
      </c>
      <c r="J52" s="63">
        <v>4.9000000000000004</v>
      </c>
      <c r="K52" s="63">
        <f t="shared" si="8"/>
        <v>1.3098039199714862</v>
      </c>
      <c r="L52" s="16">
        <f t="shared" si="5"/>
        <v>1.4866402616121417</v>
      </c>
      <c r="M52" s="38">
        <f t="shared" si="6"/>
        <v>7.4313434721926592</v>
      </c>
      <c r="N52" s="38">
        <f t="shared" si="7"/>
        <v>7431.3434721926596</v>
      </c>
      <c r="O52" s="201">
        <f>+AVERAGE(M52:M53)</f>
        <v>7.4540371436904334</v>
      </c>
      <c r="P52" s="230">
        <f>+STDEVA(M52:M53)</f>
        <v>3.2093698012191293E-2</v>
      </c>
      <c r="Q52" s="201">
        <f>+(P52/O52)*100</f>
        <v>0.43055457591001439</v>
      </c>
      <c r="R52" s="2" t="s">
        <v>14</v>
      </c>
      <c r="S52" s="2" t="s">
        <v>15</v>
      </c>
      <c r="T52" s="2" t="s">
        <v>10</v>
      </c>
    </row>
    <row r="53" spans="1:20" x14ac:dyDescent="0.3">
      <c r="A53" s="31">
        <v>43361</v>
      </c>
      <c r="B53" s="15" t="s">
        <v>1014</v>
      </c>
      <c r="C53" s="2" t="s">
        <v>1015</v>
      </c>
      <c r="D53" s="9">
        <v>2.0005000000000002</v>
      </c>
      <c r="E53" s="15">
        <v>100</v>
      </c>
      <c r="F53" s="56">
        <f t="shared" si="3"/>
        <v>2.0005000000000002E-2</v>
      </c>
      <c r="G53" s="9">
        <v>0.88670000000000004</v>
      </c>
      <c r="H53" s="9">
        <v>-8.3999999999999995E-3</v>
      </c>
      <c r="I53" s="63">
        <v>1</v>
      </c>
      <c r="J53" s="63">
        <v>4.8099999999999996</v>
      </c>
      <c r="K53" s="63">
        <f t="shared" si="8"/>
        <v>1.3178549236261683</v>
      </c>
      <c r="L53" s="16">
        <f t="shared" si="5"/>
        <v>1.495719999578401</v>
      </c>
      <c r="M53" s="38">
        <f t="shared" si="6"/>
        <v>7.4767308151882066</v>
      </c>
      <c r="N53" s="38">
        <f t="shared" ref="N53:N59" si="9">+M53*1000</f>
        <v>7476.7308151882062</v>
      </c>
      <c r="O53" s="225"/>
      <c r="P53" s="230"/>
      <c r="Q53" s="201"/>
      <c r="R53" s="2" t="s">
        <v>14</v>
      </c>
      <c r="S53" s="2" t="s">
        <v>15</v>
      </c>
      <c r="T53" s="2" t="s">
        <v>10</v>
      </c>
    </row>
    <row r="54" spans="1:20" x14ac:dyDescent="0.3">
      <c r="A54" s="31">
        <v>43361</v>
      </c>
      <c r="B54" s="15" t="s">
        <v>1016</v>
      </c>
      <c r="C54" s="2" t="s">
        <v>1017</v>
      </c>
      <c r="D54" s="9">
        <v>2</v>
      </c>
      <c r="E54" s="15">
        <v>100</v>
      </c>
      <c r="F54" s="56">
        <f t="shared" si="3"/>
        <v>0.02</v>
      </c>
      <c r="G54" s="9">
        <v>0.88670000000000004</v>
      </c>
      <c r="H54" s="9">
        <v>-8.3999999999999995E-3</v>
      </c>
      <c r="I54" s="63">
        <v>0.5</v>
      </c>
      <c r="J54" s="63">
        <v>21.3</v>
      </c>
      <c r="K54" s="63">
        <f t="shared" si="8"/>
        <v>0.67162039656126216</v>
      </c>
      <c r="L54" s="16">
        <f t="shared" si="5"/>
        <v>0.76691146561549806</v>
      </c>
      <c r="M54" s="38">
        <f t="shared" si="6"/>
        <v>7.6691146561549806</v>
      </c>
      <c r="N54" s="38">
        <f t="shared" si="9"/>
        <v>7669.1146561549804</v>
      </c>
      <c r="O54" s="201">
        <f>+AVERAGE(M54:M55)</f>
        <v>7.6914466285883556</v>
      </c>
      <c r="P54" s="230">
        <f>+STDEVA(M54:M55)</f>
        <v>3.1582178289821065E-2</v>
      </c>
      <c r="Q54" s="201">
        <f>+(P54/O54)*100</f>
        <v>0.41061428122550048</v>
      </c>
      <c r="R54" s="2" t="s">
        <v>14</v>
      </c>
      <c r="S54" s="2" t="s">
        <v>15</v>
      </c>
      <c r="T54" s="2" t="s">
        <v>10</v>
      </c>
    </row>
    <row r="55" spans="1:20" x14ac:dyDescent="0.3">
      <c r="A55" s="31">
        <v>43361</v>
      </c>
      <c r="B55" s="15" t="s">
        <v>1016</v>
      </c>
      <c r="C55" s="2" t="s">
        <v>1017</v>
      </c>
      <c r="D55" s="9">
        <v>2.0004</v>
      </c>
      <c r="E55" s="15">
        <v>100</v>
      </c>
      <c r="F55" s="56">
        <f t="shared" si="3"/>
        <v>2.0004000000000001E-2</v>
      </c>
      <c r="G55" s="9">
        <v>0.88670000000000004</v>
      </c>
      <c r="H55" s="9">
        <v>-8.3999999999999995E-3</v>
      </c>
      <c r="I55" s="63">
        <v>0.5</v>
      </c>
      <c r="J55" s="63">
        <v>21.1</v>
      </c>
      <c r="K55" s="63">
        <f t="shared" si="8"/>
        <v>0.67571754470230738</v>
      </c>
      <c r="L55" s="16">
        <f t="shared" si="5"/>
        <v>0.77153213567419343</v>
      </c>
      <c r="M55" s="38">
        <f t="shared" si="6"/>
        <v>7.7137786010217306</v>
      </c>
      <c r="N55" s="38">
        <f t="shared" si="9"/>
        <v>7713.7786010217305</v>
      </c>
      <c r="O55" s="225"/>
      <c r="P55" s="230"/>
      <c r="Q55" s="201"/>
      <c r="R55" s="2" t="s">
        <v>14</v>
      </c>
      <c r="S55" s="2" t="s">
        <v>15</v>
      </c>
      <c r="T55" s="2" t="s">
        <v>10</v>
      </c>
    </row>
    <row r="56" spans="1:20" x14ac:dyDescent="0.3">
      <c r="A56" s="31">
        <v>43375</v>
      </c>
      <c r="B56" s="15" t="s">
        <v>1201</v>
      </c>
      <c r="C56" s="2" t="s">
        <v>1203</v>
      </c>
      <c r="D56" s="9">
        <v>2.0632000000000001</v>
      </c>
      <c r="E56" s="15">
        <v>100</v>
      </c>
      <c r="F56" s="56">
        <f t="shared" si="3"/>
        <v>2.0632000000000001E-2</v>
      </c>
      <c r="G56" s="9">
        <v>0.88670000000000004</v>
      </c>
      <c r="H56" s="9">
        <v>-8.3999999999999995E-3</v>
      </c>
      <c r="I56" s="63">
        <v>0.25</v>
      </c>
      <c r="J56" s="63">
        <v>18.8</v>
      </c>
      <c r="K56" s="63">
        <f t="shared" si="8"/>
        <v>0.72584215073632019</v>
      </c>
      <c r="L56" s="16">
        <f t="shared" si="5"/>
        <v>0.82806152107400488</v>
      </c>
      <c r="M56" s="38">
        <f t="shared" si="6"/>
        <v>16.053926348856237</v>
      </c>
      <c r="N56" s="38">
        <f t="shared" si="9"/>
        <v>16053.926348856237</v>
      </c>
      <c r="O56" s="201">
        <f>+AVERAGE(M56:M57)</f>
        <v>16.069744847962895</v>
      </c>
      <c r="P56" s="230">
        <f>+STDEVA(M56:M57)</f>
        <v>2.2370735973024473E-2</v>
      </c>
      <c r="Q56" s="201">
        <f>+(P56/O56)*100</f>
        <v>0.13921027486544277</v>
      </c>
      <c r="R56" s="2" t="s">
        <v>14</v>
      </c>
      <c r="S56" s="2" t="s">
        <v>15</v>
      </c>
      <c r="T56" s="2" t="s">
        <v>10</v>
      </c>
    </row>
    <row r="57" spans="1:20" x14ac:dyDescent="0.3">
      <c r="A57" s="31">
        <v>43375</v>
      </c>
      <c r="B57" s="15" t="s">
        <v>1201</v>
      </c>
      <c r="C57" s="2" t="s">
        <v>1203</v>
      </c>
      <c r="D57" s="9">
        <v>2.0335000000000001</v>
      </c>
      <c r="E57" s="15">
        <v>100</v>
      </c>
      <c r="F57" s="56">
        <f t="shared" si="3"/>
        <v>2.0335000000000002E-2</v>
      </c>
      <c r="G57" s="9">
        <v>0.88670000000000004</v>
      </c>
      <c r="H57" s="9">
        <v>-8.3999999999999995E-3</v>
      </c>
      <c r="I57" s="63">
        <v>0.25</v>
      </c>
      <c r="J57" s="63">
        <v>19.2</v>
      </c>
      <c r="K57" s="63">
        <f t="shared" si="8"/>
        <v>0.71669877129645032</v>
      </c>
      <c r="L57" s="16">
        <f t="shared" si="5"/>
        <v>0.81774982665664853</v>
      </c>
      <c r="M57" s="38">
        <f t="shared" si="6"/>
        <v>16.085563347069556</v>
      </c>
      <c r="N57" s="38">
        <f t="shared" si="9"/>
        <v>16085.563347069556</v>
      </c>
      <c r="O57" s="225"/>
      <c r="P57" s="230"/>
      <c r="Q57" s="201"/>
      <c r="R57" s="2" t="s">
        <v>14</v>
      </c>
      <c r="S57" s="2" t="s">
        <v>15</v>
      </c>
      <c r="T57" s="2" t="s">
        <v>10</v>
      </c>
    </row>
    <row r="58" spans="1:20" x14ac:dyDescent="0.3">
      <c r="A58" s="31">
        <v>43375</v>
      </c>
      <c r="B58" s="15" t="s">
        <v>1202</v>
      </c>
      <c r="C58" s="2" t="s">
        <v>1204</v>
      </c>
      <c r="D58" s="9">
        <v>2.0127999999999999</v>
      </c>
      <c r="E58" s="15">
        <v>100</v>
      </c>
      <c r="F58" s="56">
        <f t="shared" si="3"/>
        <v>2.0128E-2</v>
      </c>
      <c r="G58" s="9">
        <v>0.88670000000000004</v>
      </c>
      <c r="H58" s="9">
        <v>-8.3999999999999995E-3</v>
      </c>
      <c r="I58" s="63">
        <v>80</v>
      </c>
      <c r="J58" s="63">
        <v>34.6</v>
      </c>
      <c r="K58" s="63">
        <f t="shared" si="8"/>
        <v>0.46092390120722326</v>
      </c>
      <c r="L58" s="16">
        <f t="shared" si="5"/>
        <v>0.52929277230993943</v>
      </c>
      <c r="M58" s="38">
        <f t="shared" si="6"/>
        <v>3.2870427533158997E-2</v>
      </c>
      <c r="N58" s="38">
        <f t="shared" si="9"/>
        <v>32.870427533158995</v>
      </c>
      <c r="O58" s="201">
        <f>+AVERAGE(M58:M59)</f>
        <v>3.2902143492248091E-2</v>
      </c>
      <c r="P58" s="230">
        <f>+STDEVA(M58:M59)</f>
        <v>4.485313948746763E-5</v>
      </c>
      <c r="Q58" s="201">
        <f>+(P58/O58)*100</f>
        <v>0.13632284929410526</v>
      </c>
      <c r="R58" s="2" t="s">
        <v>14</v>
      </c>
      <c r="S58" s="2" t="s">
        <v>15</v>
      </c>
      <c r="T58" s="2" t="s">
        <v>10</v>
      </c>
    </row>
    <row r="59" spans="1:20" x14ac:dyDescent="0.3">
      <c r="A59" s="31">
        <v>43375</v>
      </c>
      <c r="B59" s="15" t="s">
        <v>1202</v>
      </c>
      <c r="C59" s="2" t="s">
        <v>1204</v>
      </c>
      <c r="D59" s="9">
        <v>2.0196999999999998</v>
      </c>
      <c r="E59" s="15">
        <v>100</v>
      </c>
      <c r="F59" s="56">
        <f t="shared" si="3"/>
        <v>2.0197E-2</v>
      </c>
      <c r="G59" s="9">
        <v>0.88670000000000004</v>
      </c>
      <c r="H59" s="9">
        <v>-8.3999999999999995E-3</v>
      </c>
      <c r="I59" s="63">
        <v>80</v>
      </c>
      <c r="J59" s="63">
        <v>34.4</v>
      </c>
      <c r="K59" s="63">
        <f t="shared" si="8"/>
        <v>0.46344155742846982</v>
      </c>
      <c r="L59" s="16">
        <f t="shared" si="5"/>
        <v>0.53213212747092564</v>
      </c>
      <c r="M59" s="38">
        <f t="shared" si="6"/>
        <v>3.2933859451337186E-2</v>
      </c>
      <c r="N59" s="38">
        <f t="shared" si="9"/>
        <v>32.933859451337185</v>
      </c>
      <c r="O59" s="225"/>
      <c r="P59" s="230"/>
      <c r="Q59" s="201"/>
      <c r="R59" s="2" t="s">
        <v>14</v>
      </c>
      <c r="S59" s="2" t="s">
        <v>15</v>
      </c>
      <c r="T59" s="2" t="s">
        <v>10</v>
      </c>
    </row>
    <row r="60" spans="1:20" x14ac:dyDescent="0.3">
      <c r="A60" s="31">
        <v>43411</v>
      </c>
      <c r="B60" s="15" t="s">
        <v>822</v>
      </c>
      <c r="C60" s="19" t="s">
        <v>823</v>
      </c>
      <c r="D60" s="9">
        <v>2.0007999999999999</v>
      </c>
      <c r="E60" s="15">
        <v>200</v>
      </c>
      <c r="F60" s="56">
        <f>+D60/E60</f>
        <v>1.0003999999999999E-2</v>
      </c>
      <c r="G60" s="3">
        <v>0.8417</v>
      </c>
      <c r="H60" s="3">
        <v>5.8400000000000001E-2</v>
      </c>
      <c r="I60" s="3">
        <v>11</v>
      </c>
      <c r="J60" s="63" t="s">
        <v>10</v>
      </c>
      <c r="K60" s="16">
        <v>0.56200000000000006</v>
      </c>
      <c r="L60" s="16">
        <f t="shared" si="5"/>
        <v>0.59831293810146136</v>
      </c>
      <c r="M60" s="38">
        <f t="shared" si="6"/>
        <v>0.27185168573546098</v>
      </c>
      <c r="N60" s="38">
        <f t="shared" ref="N60:N64" si="10">+M60*1000</f>
        <v>271.85168573546099</v>
      </c>
      <c r="O60" s="201">
        <f>+AVERAGE(M60:M61)</f>
        <v>0.27374104415498857</v>
      </c>
      <c r="P60" s="230">
        <f>+STDEVA(M60:M61)</f>
        <v>2.6719563010797484E-3</v>
      </c>
      <c r="Q60" s="201">
        <f>+(P60/O60)*100</f>
        <v>0.97608902944306808</v>
      </c>
      <c r="R60" s="2" t="s">
        <v>14</v>
      </c>
      <c r="S60" s="2" t="s">
        <v>15</v>
      </c>
      <c r="T60" s="2" t="s">
        <v>10</v>
      </c>
    </row>
    <row r="61" spans="1:20" x14ac:dyDescent="0.3">
      <c r="A61" s="31">
        <v>43411</v>
      </c>
      <c r="B61" s="15" t="s">
        <v>822</v>
      </c>
      <c r="C61" s="19" t="s">
        <v>823</v>
      </c>
      <c r="D61" s="9">
        <v>2.0007999999999999</v>
      </c>
      <c r="E61" s="15">
        <v>200</v>
      </c>
      <c r="F61" s="56">
        <f>+D61/E61</f>
        <v>1.0003999999999999E-2</v>
      </c>
      <c r="G61" s="3">
        <v>0.8417</v>
      </c>
      <c r="H61" s="3">
        <v>5.8400000000000001E-2</v>
      </c>
      <c r="I61" s="3">
        <v>11</v>
      </c>
      <c r="J61" s="63" t="s">
        <v>10</v>
      </c>
      <c r="K61" s="16">
        <v>0.56899999999999995</v>
      </c>
      <c r="L61" s="16">
        <f t="shared" si="5"/>
        <v>0.60662944041820122</v>
      </c>
      <c r="M61" s="38">
        <f t="shared" si="6"/>
        <v>0.27563040257451621</v>
      </c>
      <c r="N61" s="38">
        <f t="shared" si="10"/>
        <v>275.63040257451621</v>
      </c>
      <c r="O61" s="225"/>
      <c r="P61" s="230"/>
      <c r="Q61" s="201"/>
      <c r="R61" s="2" t="s">
        <v>14</v>
      </c>
      <c r="S61" s="2" t="s">
        <v>15</v>
      </c>
      <c r="T61" s="2" t="s">
        <v>10</v>
      </c>
    </row>
    <row r="62" spans="1:20" x14ac:dyDescent="0.3">
      <c r="A62" s="31">
        <v>43411</v>
      </c>
      <c r="B62" s="15" t="s">
        <v>1211</v>
      </c>
      <c r="C62" s="19" t="s">
        <v>1214</v>
      </c>
      <c r="D62" s="9">
        <v>2</v>
      </c>
      <c r="E62" s="15">
        <v>200</v>
      </c>
      <c r="F62" s="56">
        <f t="shared" ref="F62:F65" si="11">+D62/E62</f>
        <v>0.01</v>
      </c>
      <c r="G62" s="3">
        <v>0.8417</v>
      </c>
      <c r="H62" s="3">
        <v>5.8400000000000001E-2</v>
      </c>
      <c r="I62" s="3">
        <v>80</v>
      </c>
      <c r="J62" s="63" t="s">
        <v>10</v>
      </c>
      <c r="K62" s="16">
        <v>0.80100000000000005</v>
      </c>
      <c r="L62" s="16">
        <f t="shared" si="5"/>
        <v>0.88226208863015332</v>
      </c>
      <c r="M62" s="38">
        <f t="shared" si="6"/>
        <v>5.5141380539384582E-2</v>
      </c>
      <c r="N62" s="56">
        <f t="shared" si="10"/>
        <v>55.141380539384585</v>
      </c>
      <c r="O62" s="201">
        <f>+AVERAGE(M62:M63)</f>
        <v>4.8755494831887847E-2</v>
      </c>
      <c r="P62" s="230">
        <f>+STDEVA(M62:M63)</f>
        <v>9.0310061753064077E-3</v>
      </c>
      <c r="Q62" s="201">
        <f>+(P62/O62)*100</f>
        <v>18.523053055754865</v>
      </c>
      <c r="R62" s="2" t="s">
        <v>14</v>
      </c>
      <c r="S62" s="2" t="s">
        <v>15</v>
      </c>
      <c r="T62" s="150" t="s">
        <v>10</v>
      </c>
    </row>
    <row r="63" spans="1:20" x14ac:dyDescent="0.3">
      <c r="A63" s="31">
        <v>43411</v>
      </c>
      <c r="B63" s="15" t="s">
        <v>1211</v>
      </c>
      <c r="C63" s="19" t="s">
        <v>1214</v>
      </c>
      <c r="D63" s="9">
        <v>2</v>
      </c>
      <c r="E63" s="15">
        <v>200</v>
      </c>
      <c r="F63" s="56">
        <f t="shared" si="11"/>
        <v>0.01</v>
      </c>
      <c r="G63" s="3">
        <v>0.8417</v>
      </c>
      <c r="H63" s="3">
        <v>5.8400000000000001E-2</v>
      </c>
      <c r="I63" s="3">
        <v>80</v>
      </c>
      <c r="J63" s="63" t="s">
        <v>10</v>
      </c>
      <c r="K63" s="16">
        <v>0.629</v>
      </c>
      <c r="L63" s="16">
        <f t="shared" si="5"/>
        <v>0.67791374599025778</v>
      </c>
      <c r="M63" s="38">
        <f t="shared" si="6"/>
        <v>4.2369609124391111E-2</v>
      </c>
      <c r="N63" s="56">
        <f t="shared" si="10"/>
        <v>42.369609124391111</v>
      </c>
      <c r="O63" s="225"/>
      <c r="P63" s="230"/>
      <c r="Q63" s="201"/>
      <c r="R63" s="2" t="s">
        <v>14</v>
      </c>
      <c r="S63" s="2" t="s">
        <v>15</v>
      </c>
      <c r="T63" s="150" t="s">
        <v>10</v>
      </c>
    </row>
    <row r="64" spans="1:20" x14ac:dyDescent="0.3">
      <c r="A64" s="31">
        <v>43411</v>
      </c>
      <c r="B64" s="15" t="s">
        <v>1211</v>
      </c>
      <c r="C64" s="19" t="s">
        <v>1214</v>
      </c>
      <c r="D64" s="9">
        <v>2</v>
      </c>
      <c r="E64" s="15">
        <v>200</v>
      </c>
      <c r="F64" s="56">
        <f t="shared" si="11"/>
        <v>0.01</v>
      </c>
      <c r="G64" s="3">
        <v>0.8417</v>
      </c>
      <c r="H64" s="3">
        <v>5.8400000000000001E-2</v>
      </c>
      <c r="I64" s="3">
        <v>80</v>
      </c>
      <c r="J64" s="16" t="s">
        <v>10</v>
      </c>
      <c r="K64" s="16">
        <v>0.76300000000000001</v>
      </c>
      <c r="L64" s="16">
        <f t="shared" si="5"/>
        <v>0.83711536176785073</v>
      </c>
      <c r="M64" s="38">
        <f t="shared" si="6"/>
        <v>5.2319710110490664E-2</v>
      </c>
      <c r="N64" s="56">
        <f t="shared" si="10"/>
        <v>52.319710110490661</v>
      </c>
      <c r="O64" s="201">
        <f>+AVERAGE(M64:M65)</f>
        <v>5.2208328383034325E-2</v>
      </c>
      <c r="P64" s="230">
        <f>+STDEVA(M64:M65)</f>
        <v>1.5751754956929329E-4</v>
      </c>
      <c r="Q64" s="201">
        <f>+(P64/O64)*100</f>
        <v>0.30170962075943492</v>
      </c>
      <c r="R64" s="2" t="s">
        <v>14</v>
      </c>
      <c r="S64" s="2" t="s">
        <v>15</v>
      </c>
      <c r="T64" s="150" t="s">
        <v>10</v>
      </c>
    </row>
    <row r="65" spans="1:20" x14ac:dyDescent="0.3">
      <c r="A65" s="31">
        <v>43411</v>
      </c>
      <c r="B65" s="15" t="s">
        <v>1211</v>
      </c>
      <c r="C65" s="19" t="s">
        <v>1214</v>
      </c>
      <c r="D65" s="9">
        <v>2</v>
      </c>
      <c r="E65" s="15">
        <v>200</v>
      </c>
      <c r="F65" s="56">
        <f t="shared" si="11"/>
        <v>0.01</v>
      </c>
      <c r="G65" s="3">
        <v>0.8417</v>
      </c>
      <c r="H65" s="3">
        <v>5.8400000000000001E-2</v>
      </c>
      <c r="I65" s="3">
        <v>80</v>
      </c>
      <c r="J65" s="16" t="s">
        <v>10</v>
      </c>
      <c r="K65" s="16">
        <v>0.76</v>
      </c>
      <c r="L65" s="16">
        <f t="shared" si="5"/>
        <v>0.833551146489248</v>
      </c>
      <c r="M65" s="38">
        <f t="shared" si="6"/>
        <v>5.2096946655577993E-2</v>
      </c>
      <c r="N65" s="56">
        <f t="shared" ref="N65" si="12">+M65*1000</f>
        <v>52.096946655577995</v>
      </c>
      <c r="O65" s="225"/>
      <c r="P65" s="230"/>
      <c r="Q65" s="201"/>
      <c r="R65" s="2" t="s">
        <v>14</v>
      </c>
      <c r="S65" s="2" t="s">
        <v>15</v>
      </c>
      <c r="T65" s="150" t="s">
        <v>10</v>
      </c>
    </row>
    <row r="66" spans="1:20" x14ac:dyDescent="0.3">
      <c r="K66"/>
    </row>
    <row r="67" spans="1:20" x14ac:dyDescent="0.3">
      <c r="K67" s="146"/>
      <c r="L67" s="17"/>
    </row>
    <row r="68" spans="1:20" x14ac:dyDescent="0.3">
      <c r="K68"/>
    </row>
    <row r="69" spans="1:20" x14ac:dyDescent="0.3">
      <c r="K69"/>
    </row>
    <row r="70" spans="1:20" x14ac:dyDescent="0.3">
      <c r="K70"/>
    </row>
    <row r="71" spans="1:20" x14ac:dyDescent="0.3">
      <c r="K71"/>
    </row>
    <row r="72" spans="1:20" x14ac:dyDescent="0.3">
      <c r="K72"/>
    </row>
    <row r="73" spans="1:20" x14ac:dyDescent="0.3">
      <c r="K73"/>
    </row>
    <row r="74" spans="1:20" x14ac:dyDescent="0.3">
      <c r="K74"/>
    </row>
    <row r="75" spans="1:20" x14ac:dyDescent="0.3">
      <c r="K75"/>
    </row>
    <row r="76" spans="1:20" x14ac:dyDescent="0.3">
      <c r="K76"/>
    </row>
    <row r="77" spans="1:20" x14ac:dyDescent="0.3">
      <c r="K77"/>
    </row>
    <row r="78" spans="1:20" x14ac:dyDescent="0.3">
      <c r="K78"/>
    </row>
    <row r="79" spans="1:20" x14ac:dyDescent="0.3">
      <c r="K79"/>
    </row>
    <row r="80" spans="1:20" x14ac:dyDescent="0.3">
      <c r="K80"/>
    </row>
    <row r="81" spans="11:11" x14ac:dyDescent="0.3">
      <c r="K81"/>
    </row>
    <row r="82" spans="11:11" x14ac:dyDescent="0.3">
      <c r="K82"/>
    </row>
    <row r="83" spans="11:11" x14ac:dyDescent="0.3">
      <c r="K83"/>
    </row>
    <row r="84" spans="11:11" x14ac:dyDescent="0.3">
      <c r="K84"/>
    </row>
    <row r="85" spans="11:11" x14ac:dyDescent="0.3">
      <c r="K85"/>
    </row>
    <row r="86" spans="11:11" x14ac:dyDescent="0.3">
      <c r="K86"/>
    </row>
    <row r="87" spans="11:11" x14ac:dyDescent="0.3">
      <c r="K87"/>
    </row>
    <row r="88" spans="11:11" x14ac:dyDescent="0.3">
      <c r="K88"/>
    </row>
    <row r="89" spans="11:11" x14ac:dyDescent="0.3">
      <c r="K89"/>
    </row>
    <row r="90" spans="11:11" x14ac:dyDescent="0.3">
      <c r="K90"/>
    </row>
    <row r="91" spans="11:11" x14ac:dyDescent="0.3">
      <c r="K91"/>
    </row>
    <row r="92" spans="11:11" x14ac:dyDescent="0.3">
      <c r="K92"/>
    </row>
    <row r="93" spans="11:11" x14ac:dyDescent="0.3">
      <c r="K93"/>
    </row>
    <row r="94" spans="11:11" x14ac:dyDescent="0.3">
      <c r="K94"/>
    </row>
    <row r="95" spans="11:11" x14ac:dyDescent="0.3">
      <c r="K95"/>
    </row>
    <row r="96" spans="11:11" x14ac:dyDescent="0.3">
      <c r="K96"/>
    </row>
    <row r="97" spans="11:11" x14ac:dyDescent="0.3">
      <c r="K97"/>
    </row>
    <row r="98" spans="11:11" x14ac:dyDescent="0.3">
      <c r="K98"/>
    </row>
    <row r="99" spans="11:11" x14ac:dyDescent="0.3">
      <c r="K99"/>
    </row>
    <row r="100" spans="11:11" x14ac:dyDescent="0.3">
      <c r="K100"/>
    </row>
    <row r="101" spans="11:11" x14ac:dyDescent="0.3">
      <c r="K101"/>
    </row>
    <row r="102" spans="11:11" x14ac:dyDescent="0.3">
      <c r="K102"/>
    </row>
    <row r="103" spans="11:11" x14ac:dyDescent="0.3">
      <c r="K103"/>
    </row>
    <row r="104" spans="11:11" x14ac:dyDescent="0.3">
      <c r="K104"/>
    </row>
    <row r="105" spans="11:11" x14ac:dyDescent="0.3">
      <c r="K105"/>
    </row>
    <row r="106" spans="11:11" x14ac:dyDescent="0.3">
      <c r="K106"/>
    </row>
    <row r="107" spans="11:11" x14ac:dyDescent="0.3">
      <c r="K107"/>
    </row>
    <row r="108" spans="11:11" x14ac:dyDescent="0.3">
      <c r="K108"/>
    </row>
    <row r="109" spans="11:11" x14ac:dyDescent="0.3">
      <c r="K109"/>
    </row>
    <row r="110" spans="11:11" x14ac:dyDescent="0.3">
      <c r="K110"/>
    </row>
    <row r="111" spans="11:11" x14ac:dyDescent="0.3">
      <c r="K111"/>
    </row>
    <row r="112" spans="11:11" x14ac:dyDescent="0.3">
      <c r="K112"/>
    </row>
    <row r="113" spans="11:11" x14ac:dyDescent="0.3">
      <c r="K113"/>
    </row>
    <row r="114" spans="11:11" x14ac:dyDescent="0.3">
      <c r="K114"/>
    </row>
    <row r="115" spans="11:11" x14ac:dyDescent="0.3">
      <c r="K115"/>
    </row>
    <row r="116" spans="11:11" x14ac:dyDescent="0.3">
      <c r="K116"/>
    </row>
    <row r="117" spans="11:11" x14ac:dyDescent="0.3">
      <c r="K117"/>
    </row>
    <row r="118" spans="11:11" x14ac:dyDescent="0.3">
      <c r="K118"/>
    </row>
    <row r="119" spans="11:11" x14ac:dyDescent="0.3">
      <c r="K119"/>
    </row>
    <row r="120" spans="11:11" x14ac:dyDescent="0.3">
      <c r="K120"/>
    </row>
    <row r="121" spans="11:11" x14ac:dyDescent="0.3">
      <c r="K121"/>
    </row>
    <row r="122" spans="11:11" x14ac:dyDescent="0.3">
      <c r="K122"/>
    </row>
    <row r="123" spans="11:11" x14ac:dyDescent="0.3">
      <c r="K123"/>
    </row>
    <row r="124" spans="11:11" x14ac:dyDescent="0.3">
      <c r="K124"/>
    </row>
    <row r="125" spans="11:11" x14ac:dyDescent="0.3">
      <c r="K125"/>
    </row>
    <row r="126" spans="11:11" x14ac:dyDescent="0.3">
      <c r="K126"/>
    </row>
    <row r="127" spans="11:11" x14ac:dyDescent="0.3">
      <c r="K127"/>
    </row>
    <row r="128" spans="11:11" x14ac:dyDescent="0.3">
      <c r="K128"/>
    </row>
    <row r="129" spans="11:11" x14ac:dyDescent="0.3">
      <c r="K129"/>
    </row>
    <row r="130" spans="11:11" x14ac:dyDescent="0.3">
      <c r="K130"/>
    </row>
    <row r="131" spans="11:11" x14ac:dyDescent="0.3">
      <c r="K131"/>
    </row>
    <row r="132" spans="11:11" x14ac:dyDescent="0.3">
      <c r="K132"/>
    </row>
    <row r="133" spans="11:11" x14ac:dyDescent="0.3">
      <c r="K133"/>
    </row>
    <row r="134" spans="11:11" x14ac:dyDescent="0.3">
      <c r="K134"/>
    </row>
    <row r="135" spans="11:11" x14ac:dyDescent="0.3">
      <c r="K135"/>
    </row>
    <row r="136" spans="11:11" x14ac:dyDescent="0.3">
      <c r="K136"/>
    </row>
    <row r="137" spans="11:11" x14ac:dyDescent="0.3">
      <c r="K137"/>
    </row>
    <row r="138" spans="11:11" x14ac:dyDescent="0.3">
      <c r="K138"/>
    </row>
    <row r="139" spans="11:11" x14ac:dyDescent="0.3">
      <c r="K139"/>
    </row>
    <row r="140" spans="11:11" x14ac:dyDescent="0.3">
      <c r="K140"/>
    </row>
    <row r="141" spans="11:11" x14ac:dyDescent="0.3">
      <c r="K141"/>
    </row>
    <row r="142" spans="11:11" x14ac:dyDescent="0.3">
      <c r="K142"/>
    </row>
    <row r="143" spans="11:11" x14ac:dyDescent="0.3">
      <c r="K143"/>
    </row>
    <row r="144" spans="11:11" x14ac:dyDescent="0.3">
      <c r="K144"/>
    </row>
    <row r="145" spans="11:11" x14ac:dyDescent="0.3">
      <c r="K145"/>
    </row>
    <row r="146" spans="11:11" x14ac:dyDescent="0.3">
      <c r="K146"/>
    </row>
    <row r="147" spans="11:11" x14ac:dyDescent="0.3">
      <c r="K147"/>
    </row>
    <row r="148" spans="11:11" x14ac:dyDescent="0.3">
      <c r="K148"/>
    </row>
    <row r="149" spans="11:11" x14ac:dyDescent="0.3">
      <c r="K149"/>
    </row>
    <row r="150" spans="11:11" x14ac:dyDescent="0.3">
      <c r="K150"/>
    </row>
    <row r="151" spans="11:11" x14ac:dyDescent="0.3">
      <c r="K151"/>
    </row>
    <row r="152" spans="11:11" x14ac:dyDescent="0.3">
      <c r="K152"/>
    </row>
    <row r="153" spans="11:11" x14ac:dyDescent="0.3">
      <c r="K153"/>
    </row>
    <row r="154" spans="11:11" x14ac:dyDescent="0.3">
      <c r="K154"/>
    </row>
    <row r="155" spans="11:11" x14ac:dyDescent="0.3">
      <c r="K155"/>
    </row>
    <row r="156" spans="11:11" x14ac:dyDescent="0.3">
      <c r="K156"/>
    </row>
    <row r="157" spans="11:11" x14ac:dyDescent="0.3">
      <c r="K157"/>
    </row>
    <row r="158" spans="11:11" x14ac:dyDescent="0.3">
      <c r="K158"/>
    </row>
    <row r="159" spans="11:11" x14ac:dyDescent="0.3">
      <c r="K159"/>
    </row>
    <row r="160" spans="11:11" x14ac:dyDescent="0.3">
      <c r="K160"/>
    </row>
    <row r="161" spans="11:11" x14ac:dyDescent="0.3">
      <c r="K161"/>
    </row>
    <row r="162" spans="11:11" x14ac:dyDescent="0.3">
      <c r="K162"/>
    </row>
    <row r="163" spans="11:11" x14ac:dyDescent="0.3">
      <c r="K163"/>
    </row>
    <row r="164" spans="11:11" x14ac:dyDescent="0.3">
      <c r="K164"/>
    </row>
    <row r="165" spans="11:11" x14ac:dyDescent="0.3">
      <c r="K165"/>
    </row>
    <row r="166" spans="11:11" x14ac:dyDescent="0.3">
      <c r="K166"/>
    </row>
    <row r="167" spans="11:11" x14ac:dyDescent="0.3">
      <c r="K167"/>
    </row>
    <row r="168" spans="11:11" x14ac:dyDescent="0.3">
      <c r="K168"/>
    </row>
    <row r="169" spans="11:11" x14ac:dyDescent="0.3">
      <c r="K169"/>
    </row>
    <row r="170" spans="11:11" x14ac:dyDescent="0.3">
      <c r="K170"/>
    </row>
    <row r="171" spans="11:11" x14ac:dyDescent="0.3">
      <c r="K171"/>
    </row>
    <row r="172" spans="11:11" x14ac:dyDescent="0.3">
      <c r="K172"/>
    </row>
    <row r="173" spans="11:11" x14ac:dyDescent="0.3">
      <c r="K173"/>
    </row>
    <row r="174" spans="11:11" x14ac:dyDescent="0.3">
      <c r="K174"/>
    </row>
    <row r="175" spans="11:11" x14ac:dyDescent="0.3">
      <c r="K175"/>
    </row>
    <row r="176" spans="11:11" x14ac:dyDescent="0.3">
      <c r="K176"/>
    </row>
    <row r="177" spans="11:11" x14ac:dyDescent="0.3">
      <c r="K177"/>
    </row>
    <row r="178" spans="11:11" x14ac:dyDescent="0.3">
      <c r="K178"/>
    </row>
    <row r="179" spans="11:11" x14ac:dyDescent="0.3">
      <c r="K179"/>
    </row>
    <row r="180" spans="11:11" x14ac:dyDescent="0.3">
      <c r="K180"/>
    </row>
    <row r="181" spans="11:11" x14ac:dyDescent="0.3">
      <c r="K181"/>
    </row>
    <row r="182" spans="11:11" x14ac:dyDescent="0.3">
      <c r="K182"/>
    </row>
    <row r="183" spans="11:11" x14ac:dyDescent="0.3">
      <c r="K183"/>
    </row>
    <row r="184" spans="11:11" x14ac:dyDescent="0.3">
      <c r="K184"/>
    </row>
    <row r="185" spans="11:11" x14ac:dyDescent="0.3">
      <c r="K185"/>
    </row>
    <row r="186" spans="11:11" x14ac:dyDescent="0.3">
      <c r="K186"/>
    </row>
    <row r="187" spans="11:11" x14ac:dyDescent="0.3">
      <c r="K187"/>
    </row>
    <row r="188" spans="11:11" x14ac:dyDescent="0.3">
      <c r="K188"/>
    </row>
    <row r="189" spans="11:11" x14ac:dyDescent="0.3">
      <c r="K189"/>
    </row>
    <row r="190" spans="11:11" x14ac:dyDescent="0.3">
      <c r="K190"/>
    </row>
    <row r="191" spans="11:11" x14ac:dyDescent="0.3">
      <c r="K191"/>
    </row>
    <row r="192" spans="11:11" x14ac:dyDescent="0.3">
      <c r="K192"/>
    </row>
    <row r="193" spans="11:11" x14ac:dyDescent="0.3">
      <c r="K193"/>
    </row>
    <row r="194" spans="11:11" x14ac:dyDescent="0.3">
      <c r="K194"/>
    </row>
    <row r="195" spans="11:11" x14ac:dyDescent="0.3">
      <c r="K195"/>
    </row>
    <row r="196" spans="11:11" x14ac:dyDescent="0.3">
      <c r="K196"/>
    </row>
    <row r="197" spans="11:11" x14ac:dyDescent="0.3">
      <c r="K197"/>
    </row>
    <row r="198" spans="11:11" x14ac:dyDescent="0.3">
      <c r="K198"/>
    </row>
    <row r="199" spans="11:11" x14ac:dyDescent="0.3">
      <c r="K199"/>
    </row>
    <row r="200" spans="11:11" x14ac:dyDescent="0.3">
      <c r="K200"/>
    </row>
    <row r="201" spans="11:11" x14ac:dyDescent="0.3">
      <c r="K201"/>
    </row>
    <row r="202" spans="11:11" x14ac:dyDescent="0.3">
      <c r="K202"/>
    </row>
    <row r="203" spans="11:11" x14ac:dyDescent="0.3">
      <c r="K203"/>
    </row>
    <row r="204" spans="11:11" x14ac:dyDescent="0.3">
      <c r="K204"/>
    </row>
    <row r="205" spans="11:11" x14ac:dyDescent="0.3">
      <c r="K205"/>
    </row>
    <row r="206" spans="11:11" x14ac:dyDescent="0.3">
      <c r="K206"/>
    </row>
    <row r="207" spans="11:11" x14ac:dyDescent="0.3">
      <c r="K207"/>
    </row>
    <row r="208" spans="11:11" x14ac:dyDescent="0.3">
      <c r="K208"/>
    </row>
    <row r="209" spans="11:11" x14ac:dyDescent="0.3">
      <c r="K209"/>
    </row>
    <row r="210" spans="11:11" x14ac:dyDescent="0.3">
      <c r="K210"/>
    </row>
    <row r="211" spans="11:11" x14ac:dyDescent="0.3">
      <c r="K211"/>
    </row>
    <row r="212" spans="11:11" x14ac:dyDescent="0.3">
      <c r="K212"/>
    </row>
    <row r="213" spans="11:11" x14ac:dyDescent="0.3">
      <c r="K213"/>
    </row>
    <row r="214" spans="11:11" x14ac:dyDescent="0.3">
      <c r="K214"/>
    </row>
    <row r="215" spans="11:11" x14ac:dyDescent="0.3">
      <c r="K215"/>
    </row>
    <row r="216" spans="11:11" x14ac:dyDescent="0.3">
      <c r="K216"/>
    </row>
    <row r="217" spans="11:11" x14ac:dyDescent="0.3">
      <c r="K217"/>
    </row>
  </sheetData>
  <autoFilter ref="A6:Q19" xr:uid="{00000000-0009-0000-0000-00000B000000}"/>
  <mergeCells count="122">
    <mergeCell ref="O56:O57"/>
    <mergeCell ref="P56:P57"/>
    <mergeCell ref="Q56:Q57"/>
    <mergeCell ref="O58:O59"/>
    <mergeCell ref="P58:P59"/>
    <mergeCell ref="Q58:Q59"/>
    <mergeCell ref="O52:O53"/>
    <mergeCell ref="P52:P53"/>
    <mergeCell ref="Q52:Q53"/>
    <mergeCell ref="O54:O55"/>
    <mergeCell ref="P54:P55"/>
    <mergeCell ref="Q54:Q55"/>
    <mergeCell ref="O48:O49"/>
    <mergeCell ref="P48:P49"/>
    <mergeCell ref="Q48:Q49"/>
    <mergeCell ref="O50:O51"/>
    <mergeCell ref="P50:P51"/>
    <mergeCell ref="Q50:Q51"/>
    <mergeCell ref="O44:O45"/>
    <mergeCell ref="P44:P45"/>
    <mergeCell ref="Q44:Q45"/>
    <mergeCell ref="O46:O47"/>
    <mergeCell ref="P46:P47"/>
    <mergeCell ref="Q46:Q47"/>
    <mergeCell ref="O40:O41"/>
    <mergeCell ref="P40:P41"/>
    <mergeCell ref="Q40:Q41"/>
    <mergeCell ref="O42:O43"/>
    <mergeCell ref="P42:P43"/>
    <mergeCell ref="Q42:Q43"/>
    <mergeCell ref="O36:O37"/>
    <mergeCell ref="P36:P37"/>
    <mergeCell ref="Q36:Q37"/>
    <mergeCell ref="O38:O39"/>
    <mergeCell ref="P38:P39"/>
    <mergeCell ref="Q38:Q39"/>
    <mergeCell ref="O32:O33"/>
    <mergeCell ref="P32:P33"/>
    <mergeCell ref="Q32:Q33"/>
    <mergeCell ref="O34:O35"/>
    <mergeCell ref="P34:P35"/>
    <mergeCell ref="Q34:Q35"/>
    <mergeCell ref="O8:O9"/>
    <mergeCell ref="P8:P9"/>
    <mergeCell ref="Q8:Q9"/>
    <mergeCell ref="O18:O19"/>
    <mergeCell ref="P18:P19"/>
    <mergeCell ref="Q18:Q19"/>
    <mergeCell ref="Q16:Q17"/>
    <mergeCell ref="Q10:Q11"/>
    <mergeCell ref="P12:P13"/>
    <mergeCell ref="Q12:Q13"/>
    <mergeCell ref="P14:P15"/>
    <mergeCell ref="Q14:Q15"/>
    <mergeCell ref="O12:O13"/>
    <mergeCell ref="O14:O15"/>
    <mergeCell ref="O16:O17"/>
    <mergeCell ref="P10:P11"/>
    <mergeCell ref="P16:P17"/>
    <mergeCell ref="O10:O11"/>
    <mergeCell ref="M6:M7"/>
    <mergeCell ref="P6:P7"/>
    <mergeCell ref="N6:N7"/>
    <mergeCell ref="Q6:Q7"/>
    <mergeCell ref="J1:T1"/>
    <mergeCell ref="J2:T2"/>
    <mergeCell ref="J3:T3"/>
    <mergeCell ref="J4:T4"/>
    <mergeCell ref="P5:T5"/>
    <mergeCell ref="M5:O5"/>
    <mergeCell ref="O6:O7"/>
    <mergeCell ref="R6:R7"/>
    <mergeCell ref="S6:S7"/>
    <mergeCell ref="T6:T7"/>
    <mergeCell ref="A1:B3"/>
    <mergeCell ref="A4:C4"/>
    <mergeCell ref="E4:F4"/>
    <mergeCell ref="H6:H7"/>
    <mergeCell ref="L6:L7"/>
    <mergeCell ref="A5:B5"/>
    <mergeCell ref="E5:F5"/>
    <mergeCell ref="A6:A7"/>
    <mergeCell ref="B6:B7"/>
    <mergeCell ref="D6:D7"/>
    <mergeCell ref="E6:E7"/>
    <mergeCell ref="C6:C7"/>
    <mergeCell ref="F6:F7"/>
    <mergeCell ref="C1:I3"/>
    <mergeCell ref="K6:K7"/>
    <mergeCell ref="G5:I5"/>
    <mergeCell ref="G4:I4"/>
    <mergeCell ref="J5:L5"/>
    <mergeCell ref="G6:G7"/>
    <mergeCell ref="I6:I7"/>
    <mergeCell ref="J6:J7"/>
    <mergeCell ref="O30:O31"/>
    <mergeCell ref="P20:P21"/>
    <mergeCell ref="Q20:Q21"/>
    <mergeCell ref="P22:P23"/>
    <mergeCell ref="Q22:Q23"/>
    <mergeCell ref="P24:P25"/>
    <mergeCell ref="Q24:Q25"/>
    <mergeCell ref="P26:P27"/>
    <mergeCell ref="Q26:Q27"/>
    <mergeCell ref="P28:P29"/>
    <mergeCell ref="Q28:Q29"/>
    <mergeCell ref="P30:P31"/>
    <mergeCell ref="Q30:Q31"/>
    <mergeCell ref="O20:O21"/>
    <mergeCell ref="O22:O23"/>
    <mergeCell ref="O24:O25"/>
    <mergeCell ref="O26:O27"/>
    <mergeCell ref="O28:O29"/>
    <mergeCell ref="O60:O61"/>
    <mergeCell ref="P60:P61"/>
    <mergeCell ref="Q60:Q61"/>
    <mergeCell ref="O62:O63"/>
    <mergeCell ref="P62:P63"/>
    <mergeCell ref="Q62:Q63"/>
    <mergeCell ref="O64:O65"/>
    <mergeCell ref="P64:P65"/>
    <mergeCell ref="Q64:Q65"/>
  </mergeCells>
  <pageMargins left="0.7" right="0.7" top="0.75" bottom="0.75" header="0.3" footer="0.3"/>
  <pageSetup scale="39" fitToHeight="0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I31"/>
  <sheetViews>
    <sheetView topLeftCell="A2" workbookViewId="0">
      <selection activeCell="A31" sqref="A2:A31"/>
    </sheetView>
  </sheetViews>
  <sheetFormatPr baseColWidth="10" defaultRowHeight="15" x14ac:dyDescent="0.3"/>
  <cols>
    <col min="1" max="1" width="47.75" customWidth="1"/>
    <col min="9" max="9" width="11.875" customWidth="1"/>
  </cols>
  <sheetData>
    <row r="1" spans="1:9" ht="16.5" x14ac:dyDescent="0.3">
      <c r="A1" t="s">
        <v>269</v>
      </c>
      <c r="I1" s="147" t="s">
        <v>1272</v>
      </c>
    </row>
    <row r="2" spans="1:9" ht="16.5" x14ac:dyDescent="0.3">
      <c r="A2" t="s">
        <v>887</v>
      </c>
      <c r="I2" t="s">
        <v>862</v>
      </c>
    </row>
    <row r="3" spans="1:9" ht="16.5" x14ac:dyDescent="0.3">
      <c r="A3" t="s">
        <v>888</v>
      </c>
      <c r="I3" t="s">
        <v>1269</v>
      </c>
    </row>
    <row r="4" spans="1:9" ht="16.5" x14ac:dyDescent="0.3">
      <c r="A4" t="s">
        <v>889</v>
      </c>
      <c r="C4" t="s">
        <v>891</v>
      </c>
      <c r="I4" t="s">
        <v>1270</v>
      </c>
    </row>
    <row r="5" spans="1:9" ht="16.5" x14ac:dyDescent="0.3">
      <c r="A5" t="s">
        <v>890</v>
      </c>
      <c r="C5" t="s">
        <v>893</v>
      </c>
      <c r="I5" t="s">
        <v>1271</v>
      </c>
    </row>
    <row r="6" spans="1:9" ht="16.5" x14ac:dyDescent="0.3">
      <c r="A6" t="s">
        <v>892</v>
      </c>
    </row>
    <row r="7" spans="1:9" ht="16.5" x14ac:dyDescent="0.3">
      <c r="A7" t="s">
        <v>894</v>
      </c>
    </row>
    <row r="8" spans="1:9" ht="16.5" x14ac:dyDescent="0.3">
      <c r="A8" t="s">
        <v>895</v>
      </c>
    </row>
    <row r="9" spans="1:9" ht="16.5" x14ac:dyDescent="0.3">
      <c r="A9" t="s">
        <v>896</v>
      </c>
    </row>
    <row r="10" spans="1:9" ht="16.5" x14ac:dyDescent="0.3">
      <c r="A10" t="s">
        <v>897</v>
      </c>
    </row>
    <row r="11" spans="1:9" ht="16.5" x14ac:dyDescent="0.3">
      <c r="A11" t="s">
        <v>914</v>
      </c>
    </row>
    <row r="12" spans="1:9" ht="16.5" x14ac:dyDescent="0.3">
      <c r="A12" t="s">
        <v>898</v>
      </c>
    </row>
    <row r="13" spans="1:9" ht="16.5" x14ac:dyDescent="0.3">
      <c r="A13" t="s">
        <v>899</v>
      </c>
    </row>
    <row r="14" spans="1:9" ht="16.5" x14ac:dyDescent="0.3">
      <c r="A14" t="s">
        <v>915</v>
      </c>
    </row>
    <row r="15" spans="1:9" ht="16.5" x14ac:dyDescent="0.3">
      <c r="A15" t="s">
        <v>900</v>
      </c>
    </row>
    <row r="16" spans="1:9" ht="16.5" x14ac:dyDescent="0.3">
      <c r="A16" t="s">
        <v>901</v>
      </c>
    </row>
    <row r="17" spans="1:1" ht="16.5" x14ac:dyDescent="0.3">
      <c r="A17" t="s">
        <v>902</v>
      </c>
    </row>
    <row r="18" spans="1:1" ht="16.5" x14ac:dyDescent="0.3">
      <c r="A18" t="s">
        <v>903</v>
      </c>
    </row>
    <row r="19" spans="1:1" ht="16.5" x14ac:dyDescent="0.3">
      <c r="A19" t="s">
        <v>904</v>
      </c>
    </row>
    <row r="20" spans="1:1" ht="16.5" x14ac:dyDescent="0.3">
      <c r="A20" t="s">
        <v>905</v>
      </c>
    </row>
    <row r="21" spans="1:1" ht="16.5" x14ac:dyDescent="0.3">
      <c r="A21" t="s">
        <v>906</v>
      </c>
    </row>
    <row r="22" spans="1:1" ht="16.5" x14ac:dyDescent="0.3">
      <c r="A22" t="s">
        <v>907</v>
      </c>
    </row>
    <row r="23" spans="1:1" ht="16.5" x14ac:dyDescent="0.3">
      <c r="A23" t="s">
        <v>908</v>
      </c>
    </row>
    <row r="24" spans="1:1" ht="16.5" x14ac:dyDescent="0.3">
      <c r="A24" t="s">
        <v>909</v>
      </c>
    </row>
    <row r="25" spans="1:1" ht="16.5" x14ac:dyDescent="0.3">
      <c r="A25" t="s">
        <v>910</v>
      </c>
    </row>
    <row r="26" spans="1:1" ht="16.5" x14ac:dyDescent="0.3">
      <c r="A26" t="s">
        <v>916</v>
      </c>
    </row>
    <row r="27" spans="1:1" ht="16.5" x14ac:dyDescent="0.3">
      <c r="A27" t="s">
        <v>1307</v>
      </c>
    </row>
    <row r="28" spans="1:1" ht="16.5" x14ac:dyDescent="0.3">
      <c r="A28" t="s">
        <v>911</v>
      </c>
    </row>
    <row r="29" spans="1:1" ht="16.5" x14ac:dyDescent="0.3">
      <c r="A29" t="s">
        <v>912</v>
      </c>
    </row>
    <row r="30" spans="1:1" ht="16.5" x14ac:dyDescent="0.3">
      <c r="A30" t="s">
        <v>913</v>
      </c>
    </row>
    <row r="31" spans="1:1" ht="16.5" x14ac:dyDescent="0.3">
      <c r="A31" t="s">
        <v>917</v>
      </c>
    </row>
  </sheetData>
  <pageMargins left="0.7" right="0.7" top="0.75" bottom="0.75" header="0.3" footer="0.3"/>
  <tableParts count="2">
    <tablePart r:id="rId1"/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86087B-B3E8-4C48-BD10-E88FC2655FFD}">
  <dimension ref="A1:BL48"/>
  <sheetViews>
    <sheetView workbookViewId="0">
      <selection activeCell="C36" sqref="C36"/>
    </sheetView>
  </sheetViews>
  <sheetFormatPr baseColWidth="10" defaultRowHeight="16.5" x14ac:dyDescent="0.3"/>
  <cols>
    <col min="1" max="1" width="46.75" style="147" customWidth="1"/>
    <col min="2" max="2" width="18.625" style="147" customWidth="1"/>
    <col min="3" max="3" width="17.5" style="147" customWidth="1"/>
    <col min="4" max="4" width="18.75" style="147" customWidth="1"/>
    <col min="5" max="8" width="11" style="147"/>
    <col min="40" max="40" width="11" style="147"/>
  </cols>
  <sheetData>
    <row r="1" spans="1:64" s="147" customFormat="1" ht="24.75" customHeight="1" x14ac:dyDescent="0.3">
      <c r="A1" s="198"/>
      <c r="B1" s="199"/>
      <c r="C1" s="336" t="s">
        <v>1343</v>
      </c>
      <c r="D1" s="337"/>
      <c r="E1" s="337"/>
      <c r="F1" s="338"/>
      <c r="G1" s="192" t="s">
        <v>1281</v>
      </c>
      <c r="H1" s="193"/>
      <c r="I1" s="174"/>
      <c r="J1" s="174"/>
      <c r="K1" s="174"/>
      <c r="L1" s="174"/>
      <c r="M1" s="174"/>
      <c r="N1" s="174"/>
      <c r="O1" s="174"/>
      <c r="P1" s="174"/>
      <c r="Q1" s="174"/>
      <c r="R1" s="174"/>
      <c r="S1" s="174"/>
      <c r="T1" s="174"/>
      <c r="U1" s="194"/>
    </row>
    <row r="2" spans="1:64" s="147" customFormat="1" ht="20.25" customHeight="1" x14ac:dyDescent="0.3">
      <c r="A2" s="198"/>
      <c r="B2" s="199"/>
      <c r="C2" s="336"/>
      <c r="D2" s="337"/>
      <c r="E2" s="337"/>
      <c r="F2" s="338"/>
      <c r="G2" s="192" t="s">
        <v>1282</v>
      </c>
      <c r="H2" s="193">
        <v>1</v>
      </c>
      <c r="I2" s="174"/>
      <c r="J2" s="174"/>
      <c r="K2" s="174"/>
      <c r="L2" s="174"/>
      <c r="M2" s="174"/>
      <c r="N2" s="174"/>
      <c r="O2" s="174"/>
      <c r="P2" s="174"/>
      <c r="Q2" s="174"/>
      <c r="R2" s="174"/>
      <c r="S2" s="174"/>
      <c r="T2" s="174"/>
      <c r="U2" s="194"/>
    </row>
    <row r="3" spans="1:64" s="147" customFormat="1" ht="23.25" customHeight="1" x14ac:dyDescent="0.3">
      <c r="A3" s="198"/>
      <c r="B3" s="199"/>
      <c r="C3" s="339" t="s">
        <v>1283</v>
      </c>
      <c r="D3" s="340"/>
      <c r="E3" s="340"/>
      <c r="F3" s="341"/>
      <c r="G3" s="195" t="s">
        <v>1284</v>
      </c>
      <c r="H3" s="196">
        <v>43357</v>
      </c>
      <c r="I3" s="175"/>
      <c r="J3" s="175"/>
      <c r="K3" s="175"/>
      <c r="L3" s="175"/>
      <c r="M3" s="175"/>
      <c r="N3" s="175"/>
      <c r="O3" s="175"/>
      <c r="P3" s="175"/>
      <c r="Q3" s="175"/>
      <c r="R3" s="175"/>
      <c r="S3" s="175"/>
      <c r="T3" s="175"/>
      <c r="U3" s="197"/>
    </row>
    <row r="4" spans="1:64" s="147" customFormat="1" ht="20.25" x14ac:dyDescent="0.3">
      <c r="A4" s="342" t="s">
        <v>1340</v>
      </c>
      <c r="B4" s="342"/>
      <c r="C4" s="342"/>
      <c r="D4" s="342"/>
      <c r="E4" s="342"/>
      <c r="F4" s="342"/>
      <c r="G4" s="342"/>
      <c r="H4" s="342"/>
    </row>
    <row r="5" spans="1:64" s="147" customFormat="1" ht="15.75" customHeight="1" x14ac:dyDescent="0.3">
      <c r="A5" s="343" t="s">
        <v>1344</v>
      </c>
      <c r="B5" s="343"/>
      <c r="C5" s="343"/>
      <c r="D5" s="343"/>
      <c r="E5" s="343"/>
      <c r="F5" s="343"/>
      <c r="G5" s="343"/>
      <c r="H5" s="343"/>
    </row>
    <row r="6" spans="1:64" s="147" customFormat="1" x14ac:dyDescent="0.3">
      <c r="A6" s="156" t="s">
        <v>1341</v>
      </c>
      <c r="B6" s="147" t="s">
        <v>1274</v>
      </c>
      <c r="D6" s="156" t="s">
        <v>1342</v>
      </c>
    </row>
    <row r="7" spans="1:64" s="147" customFormat="1" x14ac:dyDescent="0.3"/>
    <row r="8" spans="1:64" s="147" customFormat="1" x14ac:dyDescent="0.3"/>
    <row r="9" spans="1:64" s="147" customFormat="1" x14ac:dyDescent="0.3"/>
    <row r="10" spans="1:64" ht="17.25" thickBot="1" x14ac:dyDescent="0.35">
      <c r="A10" s="177" t="s">
        <v>269</v>
      </c>
      <c r="B10" s="178" t="s">
        <v>1332</v>
      </c>
      <c r="C10" s="178" t="s">
        <v>1333</v>
      </c>
      <c r="D10" s="179" t="s">
        <v>1337</v>
      </c>
      <c r="I10" s="156" t="s">
        <v>269</v>
      </c>
      <c r="J10" s="147" t="str">
        <f>L12</f>
        <v>CARNE</v>
      </c>
      <c r="K10" s="147"/>
      <c r="L10" s="147"/>
      <c r="M10" s="147"/>
      <c r="N10" s="156" t="s">
        <v>1273</v>
      </c>
      <c r="O10" s="147" t="s">
        <v>1274</v>
      </c>
      <c r="Q10" s="156" t="s">
        <v>269</v>
      </c>
      <c r="R10" s="147" t="str">
        <f>T12</f>
        <v>CEREALES Y PRODUCTOS DERIVADOS</v>
      </c>
      <c r="S10" s="147"/>
      <c r="T10" s="147"/>
      <c r="U10" s="147"/>
      <c r="V10" s="156" t="s">
        <v>1273</v>
      </c>
      <c r="W10" s="147" t="s">
        <v>1274</v>
      </c>
      <c r="Y10" s="156" t="s">
        <v>269</v>
      </c>
      <c r="Z10" s="147" t="str">
        <f>AB12</f>
        <v>FRUTAS</v>
      </c>
      <c r="AA10" s="147"/>
      <c r="AB10" s="147"/>
      <c r="AC10" s="147"/>
      <c r="AD10" s="156" t="s">
        <v>1273</v>
      </c>
      <c r="AE10" s="147" t="s">
        <v>1274</v>
      </c>
      <c r="AP10" s="156" t="s">
        <v>269</v>
      </c>
      <c r="AQ10" s="147" t="str">
        <f>AS12</f>
        <v>LECHE Y PRODUCTOS LACTEOS</v>
      </c>
      <c r="AR10" s="147"/>
      <c r="AS10" s="147"/>
      <c r="AT10" s="147"/>
      <c r="AU10" s="156" t="s">
        <v>1273</v>
      </c>
      <c r="AV10" s="147" t="s">
        <v>1274</v>
      </c>
      <c r="AX10" s="156" t="s">
        <v>269</v>
      </c>
      <c r="AY10" s="147" t="str">
        <f>BA12</f>
        <v>PRODUCTO TERMINADO</v>
      </c>
      <c r="AZ10" s="147"/>
      <c r="BA10" s="147"/>
      <c r="BB10" s="147"/>
      <c r="BC10" s="156" t="s">
        <v>1273</v>
      </c>
      <c r="BD10" s="147" t="s">
        <v>1274</v>
      </c>
      <c r="BF10" s="156" t="s">
        <v>269</v>
      </c>
      <c r="BG10" s="147" t="str">
        <f>BI12</f>
        <v>PRODUCTOS DE COCO</v>
      </c>
      <c r="BH10" s="147"/>
      <c r="BI10" s="147"/>
      <c r="BJ10" s="147"/>
      <c r="BK10" s="156" t="s">
        <v>1273</v>
      </c>
      <c r="BL10" s="147" t="s">
        <v>1274</v>
      </c>
    </row>
    <row r="11" spans="1:64" x14ac:dyDescent="0.3">
      <c r="A11" s="106" t="s">
        <v>887</v>
      </c>
      <c r="B11" s="180" t="str">
        <f t="shared" ref="B11:B17" si="0">AV30</f>
        <v/>
      </c>
      <c r="C11" s="180" t="str">
        <f t="shared" ref="C11:C17" si="1">AV31</f>
        <v/>
      </c>
      <c r="D11" s="181"/>
      <c r="I11" s="157" t="s">
        <v>1275</v>
      </c>
      <c r="J11" s="158" t="s">
        <v>62</v>
      </c>
      <c r="K11" s="158" t="s">
        <v>64</v>
      </c>
      <c r="L11" s="158" t="s">
        <v>269</v>
      </c>
      <c r="M11" s="158" t="str">
        <f>"RESULTADO 1 "&amp;O10</f>
        <v>RESULTADO 1 %</v>
      </c>
      <c r="N11" s="158" t="str">
        <f>"RESULTADO 2 "&amp;O10</f>
        <v>RESULTADO 2 %</v>
      </c>
      <c r="O11" s="159" t="s">
        <v>1276</v>
      </c>
      <c r="Q11" s="157" t="s">
        <v>1275</v>
      </c>
      <c r="R11" s="158" t="s">
        <v>62</v>
      </c>
      <c r="S11" s="158" t="s">
        <v>64</v>
      </c>
      <c r="T11" s="158" t="s">
        <v>269</v>
      </c>
      <c r="U11" s="158" t="str">
        <f>"RESULTADO 1 "&amp;W10</f>
        <v>RESULTADO 1 %</v>
      </c>
      <c r="V11" s="158" t="str">
        <f>"RESULTADO 2 "&amp;W10</f>
        <v>RESULTADO 2 %</v>
      </c>
      <c r="W11" s="159" t="s">
        <v>1276</v>
      </c>
      <c r="Y11" s="157" t="s">
        <v>1275</v>
      </c>
      <c r="Z11" s="158" t="s">
        <v>62</v>
      </c>
      <c r="AA11" s="158" t="s">
        <v>64</v>
      </c>
      <c r="AB11" s="158" t="s">
        <v>269</v>
      </c>
      <c r="AC11" s="158" t="str">
        <f>"RESULTADO 1 "&amp;AE10</f>
        <v>RESULTADO 1 %</v>
      </c>
      <c r="AD11" s="158" t="str">
        <f>"RESULTADO 2 "&amp;AE10</f>
        <v>RESULTADO 2 %</v>
      </c>
      <c r="AE11" s="159" t="s">
        <v>1276</v>
      </c>
      <c r="AP11" s="157" t="s">
        <v>1275</v>
      </c>
      <c r="AQ11" s="158" t="s">
        <v>62</v>
      </c>
      <c r="AR11" s="158" t="s">
        <v>64</v>
      </c>
      <c r="AS11" s="158" t="s">
        <v>269</v>
      </c>
      <c r="AT11" s="158" t="str">
        <f>"RESULTADO 1 "&amp;AV10</f>
        <v>RESULTADO 1 %</v>
      </c>
      <c r="AU11" s="158" t="str">
        <f>"RESULTADO 2 "&amp;AV10</f>
        <v>RESULTADO 2 %</v>
      </c>
      <c r="AV11" s="159" t="s">
        <v>1276</v>
      </c>
      <c r="AX11" s="157" t="s">
        <v>1275</v>
      </c>
      <c r="AY11" s="158" t="s">
        <v>62</v>
      </c>
      <c r="AZ11" s="158" t="s">
        <v>64</v>
      </c>
      <c r="BA11" s="158" t="s">
        <v>269</v>
      </c>
      <c r="BB11" s="158" t="str">
        <f>"RESULTADO 1 "&amp;BD10</f>
        <v>RESULTADO 1 %</v>
      </c>
      <c r="BC11" s="158" t="str">
        <f>"RESULTADO 2 "&amp;BD10</f>
        <v>RESULTADO 2 %</v>
      </c>
      <c r="BD11" s="159" t="s">
        <v>1276</v>
      </c>
      <c r="BF11" s="157" t="s">
        <v>1275</v>
      </c>
      <c r="BG11" s="158" t="s">
        <v>62</v>
      </c>
      <c r="BH11" s="158" t="s">
        <v>64</v>
      </c>
      <c r="BI11" s="158" t="s">
        <v>269</v>
      </c>
      <c r="BJ11" s="158" t="str">
        <f>"RESULTADO 1 "&amp;BL10</f>
        <v>RESULTADO 1 %</v>
      </c>
      <c r="BK11" s="158" t="str">
        <f>"RESULTADO 2 "&amp;BL10</f>
        <v>RESULTADO 2 %</v>
      </c>
      <c r="BL11" s="159" t="s">
        <v>1276</v>
      </c>
    </row>
    <row r="12" spans="1:64" ht="17.25" thickBot="1" x14ac:dyDescent="0.35">
      <c r="A12" s="106" t="s">
        <v>889</v>
      </c>
      <c r="B12" s="180" t="str">
        <f t="shared" si="0"/>
        <v/>
      </c>
      <c r="C12" s="180" t="str">
        <f t="shared" si="1"/>
        <v/>
      </c>
      <c r="D12" s="181"/>
      <c r="I12" s="160">
        <v>1</v>
      </c>
      <c r="J12" s="155">
        <v>44279</v>
      </c>
      <c r="K12" s="150" t="s">
        <v>1247</v>
      </c>
      <c r="L12" s="150" t="s">
        <v>897</v>
      </c>
      <c r="M12" s="150">
        <v>5.55</v>
      </c>
      <c r="N12" s="150">
        <v>6.2</v>
      </c>
      <c r="O12" s="161">
        <f>IF(AND(ISBLANK(M12),ISBLANK(N12))=TRUE,"",ABS(N12-M12)/AVERAGE(M12:N12))</f>
        <v>0.11063829787234049</v>
      </c>
      <c r="Q12" s="160">
        <v>1</v>
      </c>
      <c r="R12" s="155">
        <v>44218</v>
      </c>
      <c r="S12" s="150" t="s">
        <v>1325</v>
      </c>
      <c r="T12" s="150" t="s">
        <v>914</v>
      </c>
      <c r="U12" s="150">
        <v>58.47</v>
      </c>
      <c r="V12" s="150">
        <v>58.47</v>
      </c>
      <c r="W12" s="161">
        <f>IF(AND(ISBLANK(U12),ISBLANK(V12))=TRUE,"",ABS(V12-U12)/AVERAGE(U12:V12))</f>
        <v>0</v>
      </c>
      <c r="Y12" s="160">
        <v>1</v>
      </c>
      <c r="Z12" s="155">
        <v>44257</v>
      </c>
      <c r="AA12" s="150" t="s">
        <v>1227</v>
      </c>
      <c r="AB12" s="150" t="s">
        <v>900</v>
      </c>
      <c r="AC12" s="150">
        <v>2.62</v>
      </c>
      <c r="AD12" s="150">
        <v>2.5499999999999998</v>
      </c>
      <c r="AE12" s="161">
        <f>IF(AND(ISBLANK(AC12),ISBLANK(AD12))=TRUE,"",ABS(AD12-AC12)/AVERAGE(AC12:AD12))</f>
        <v>2.7079303675048468E-2</v>
      </c>
      <c r="AG12" s="156" t="s">
        <v>269</v>
      </c>
      <c r="AH12" s="147" t="str">
        <f>AJ14</f>
        <v>HIERBAS, ESPECIAS, SALSAS</v>
      </c>
      <c r="AI12" s="147"/>
      <c r="AJ12" s="147"/>
      <c r="AK12" s="147"/>
      <c r="AL12" s="156" t="s">
        <v>1273</v>
      </c>
      <c r="AM12" s="147" t="s">
        <v>1274</v>
      </c>
      <c r="AP12" s="160">
        <v>1</v>
      </c>
      <c r="AQ12" s="155">
        <v>44194</v>
      </c>
      <c r="AR12" s="150" t="s">
        <v>1329</v>
      </c>
      <c r="AS12" s="150" t="s">
        <v>905</v>
      </c>
      <c r="AT12" s="150">
        <v>9.2899999999999991</v>
      </c>
      <c r="AU12" s="150">
        <v>8.49</v>
      </c>
      <c r="AV12" s="161">
        <f>IF(AND(ISBLANK(AT12),ISBLANK(AU12))=TRUE,"",ABS(AU12-AT12)/AVERAGE(AT12:AU12))</f>
        <v>8.9988751406074111E-2</v>
      </c>
      <c r="AX12" s="160">
        <v>1</v>
      </c>
      <c r="AY12" s="155">
        <v>44275</v>
      </c>
      <c r="AZ12" s="150" t="s">
        <v>1242</v>
      </c>
      <c r="BA12" s="150" t="s">
        <v>1307</v>
      </c>
      <c r="BB12" s="150">
        <v>10.11</v>
      </c>
      <c r="BC12" s="150">
        <v>9.9700000000000006</v>
      </c>
      <c r="BD12" s="161">
        <f>IF(AND(ISBLANK(BB12),ISBLANK(BC12))=TRUE,"",ABS(BC12-BB12)/AVERAGE(BB12:BC12))</f>
        <v>1.3944223107569601E-2</v>
      </c>
      <c r="BF12" s="160">
        <v>1</v>
      </c>
      <c r="BG12" s="155">
        <v>44275</v>
      </c>
      <c r="BH12" s="150" t="s">
        <v>1235</v>
      </c>
      <c r="BI12" s="150" t="s">
        <v>911</v>
      </c>
      <c r="BJ12" s="150">
        <v>24.02</v>
      </c>
      <c r="BK12" s="150">
        <v>22.02</v>
      </c>
      <c r="BL12" s="161">
        <f>IF(AND(ISBLANK(BJ12),ISBLANK(BK12))=TRUE,"",ABS(BK12-BJ12)/AVERAGE(BJ12:BK12))</f>
        <v>8.6880973066898348E-2</v>
      </c>
    </row>
    <row r="13" spans="1:64" x14ac:dyDescent="0.3">
      <c r="A13" s="106" t="s">
        <v>890</v>
      </c>
      <c r="B13" s="180" t="str">
        <f t="shared" si="0"/>
        <v/>
      </c>
      <c r="C13" s="180" t="str">
        <f t="shared" si="1"/>
        <v/>
      </c>
      <c r="D13" s="181"/>
      <c r="I13" s="160">
        <v>2</v>
      </c>
      <c r="J13" s="155">
        <v>44300</v>
      </c>
      <c r="K13" s="150" t="s">
        <v>1251</v>
      </c>
      <c r="L13" s="150" t="s">
        <v>897</v>
      </c>
      <c r="M13" s="150">
        <v>0.72</v>
      </c>
      <c r="N13" s="150">
        <v>0.66</v>
      </c>
      <c r="O13" s="161">
        <f>IF(AND(ISBLANK(M13),ISBLANK(N13))=TRUE,"",ABS(N13-M13)/AVERAGE(M13:N13))</f>
        <v>8.6956521739130363E-2</v>
      </c>
      <c r="Q13" s="160">
        <v>2</v>
      </c>
      <c r="R13" s="155">
        <v>44218</v>
      </c>
      <c r="S13" s="150" t="s">
        <v>1327</v>
      </c>
      <c r="T13" s="150" t="s">
        <v>914</v>
      </c>
      <c r="U13" s="150">
        <v>48.92</v>
      </c>
      <c r="V13" s="150">
        <v>44.49</v>
      </c>
      <c r="W13" s="161">
        <f>IF(AND(ISBLANK(U13),ISBLANK(V13))=TRUE,"",ABS(V13-U13)/AVERAGE(U13:V13))</f>
        <v>9.4850658387752917E-2</v>
      </c>
      <c r="Y13" s="160">
        <v>2</v>
      </c>
      <c r="Z13" s="149">
        <v>44328</v>
      </c>
      <c r="AA13" s="154" t="s">
        <v>1267</v>
      </c>
      <c r="AB13" s="150" t="s">
        <v>900</v>
      </c>
      <c r="AC13" s="150">
        <v>4.84</v>
      </c>
      <c r="AD13" s="150">
        <v>4.78</v>
      </c>
      <c r="AE13" s="161">
        <f>IF(AND(ISBLANK(AC13),ISBLANK(AD13))=TRUE,"",ABS(AD13-AC13)/AVERAGE(AC13:AD13))</f>
        <v>1.2474012474012391E-2</v>
      </c>
      <c r="AG13" s="157" t="s">
        <v>1275</v>
      </c>
      <c r="AH13" s="158" t="s">
        <v>62</v>
      </c>
      <c r="AI13" s="158" t="s">
        <v>64</v>
      </c>
      <c r="AJ13" s="158" t="s">
        <v>269</v>
      </c>
      <c r="AK13" s="158" t="str">
        <f>"RESULTADO 1 "&amp;AM12</f>
        <v>RESULTADO 1 %</v>
      </c>
      <c r="AL13" s="158" t="str">
        <f>"RESULTADO 2 "&amp;AM12</f>
        <v>RESULTADO 2 %</v>
      </c>
      <c r="AM13" s="159" t="s">
        <v>1276</v>
      </c>
      <c r="AN13" s="188"/>
      <c r="AP13" s="160">
        <v>2</v>
      </c>
      <c r="AQ13" s="149">
        <v>44214</v>
      </c>
      <c r="AR13" s="150" t="s">
        <v>1323</v>
      </c>
      <c r="AS13" s="150" t="s">
        <v>905</v>
      </c>
      <c r="AT13" s="150">
        <v>0.47</v>
      </c>
      <c r="AU13" s="150">
        <v>0.36</v>
      </c>
      <c r="AV13" s="161">
        <f>IF(AND(ISBLANK(AT13),ISBLANK(AU13))=TRUE,"",ABS(AU13-AT13)/AVERAGE(AT13:AU13))</f>
        <v>0.26506024096385539</v>
      </c>
      <c r="AX13" s="160">
        <v>2</v>
      </c>
      <c r="AY13" s="149">
        <v>44279</v>
      </c>
      <c r="AZ13" s="150" t="s">
        <v>1248</v>
      </c>
      <c r="BA13" s="150" t="s">
        <v>1307</v>
      </c>
      <c r="BB13" s="150">
        <v>7.46</v>
      </c>
      <c r="BC13" s="150">
        <v>7.2</v>
      </c>
      <c r="BD13" s="161">
        <f>IF(AND(ISBLANK(BB13),ISBLANK(BC13))=TRUE,"",ABS(BC13-BB13)/AVERAGE(BB13:BC13))</f>
        <v>3.5470668485675275E-2</v>
      </c>
      <c r="BF13" s="160">
        <v>2</v>
      </c>
      <c r="BG13" s="149">
        <v>44279</v>
      </c>
      <c r="BH13" s="150" t="s">
        <v>1245</v>
      </c>
      <c r="BI13" s="150" t="s">
        <v>911</v>
      </c>
      <c r="BJ13" s="150">
        <v>6.04</v>
      </c>
      <c r="BK13" s="150">
        <v>5.99</v>
      </c>
      <c r="BL13" s="161">
        <f>IF(AND(ISBLANK(BJ13),ISBLANK(BK13))=TRUE,"",ABS(BK13-BJ13)/AVERAGE(BJ13:BK13))</f>
        <v>8.3125519534496782E-3</v>
      </c>
    </row>
    <row r="14" spans="1:64" x14ac:dyDescent="0.3">
      <c r="A14" s="106" t="s">
        <v>892</v>
      </c>
      <c r="B14" s="180" t="str">
        <f t="shared" si="0"/>
        <v/>
      </c>
      <c r="C14" s="180" t="str">
        <f t="shared" si="1"/>
        <v/>
      </c>
      <c r="D14" s="181"/>
      <c r="I14" s="160">
        <v>3</v>
      </c>
      <c r="J14" s="149">
        <v>44327</v>
      </c>
      <c r="K14" s="150" t="s">
        <v>1265</v>
      </c>
      <c r="L14" s="150" t="s">
        <v>897</v>
      </c>
      <c r="M14" s="150">
        <v>1.61</v>
      </c>
      <c r="N14" s="150">
        <v>1.6</v>
      </c>
      <c r="O14" s="161">
        <f t="shared" ref="O14:O41" si="2">IF(AND(ISBLANK(M14),ISBLANK(N14))=TRUE,"",ABS(N14-M14)/AVERAGE(M14:N14))</f>
        <v>6.2305295950155822E-3</v>
      </c>
      <c r="Q14" s="160">
        <v>3</v>
      </c>
      <c r="R14" s="155">
        <v>44224</v>
      </c>
      <c r="S14" s="150" t="s">
        <v>1325</v>
      </c>
      <c r="T14" s="150" t="s">
        <v>914</v>
      </c>
      <c r="U14" s="150">
        <v>1.3</v>
      </c>
      <c r="V14" s="150">
        <v>1.1000000000000001</v>
      </c>
      <c r="W14" s="161">
        <f t="shared" ref="W14:W41" si="3">IF(AND(ISBLANK(U14),ISBLANK(V14))=TRUE,"",ABS(V14-U14)/AVERAGE(U14:V14))</f>
        <v>0.1666666666666666</v>
      </c>
      <c r="Y14" s="160">
        <v>3</v>
      </c>
      <c r="Z14" s="155"/>
      <c r="AA14" s="150"/>
      <c r="AB14" s="150"/>
      <c r="AC14" s="150"/>
      <c r="AD14" s="150"/>
      <c r="AE14" s="161" t="str">
        <f t="shared" ref="AE14:AE23" si="4">IF(AND(ISBLANK(AC14),ISBLANK(AD14))=TRUE,"",ABS(AD14-AC14)/AVERAGE(AC14:AD14))</f>
        <v/>
      </c>
      <c r="AG14" s="160">
        <v>1</v>
      </c>
      <c r="AH14" s="155">
        <v>44257</v>
      </c>
      <c r="AI14" s="150" t="s">
        <v>1226</v>
      </c>
      <c r="AJ14" s="150" t="s">
        <v>901</v>
      </c>
      <c r="AK14" s="150">
        <v>8.11</v>
      </c>
      <c r="AL14" s="150">
        <v>8.2799999999999994</v>
      </c>
      <c r="AM14" s="161">
        <f>IF(AND(ISBLANK(AK14),ISBLANK(AL14))=TRUE,"",ABS(AL14-AK14)/AVERAGE(AK14:AL14))</f>
        <v>2.0744356314826105E-2</v>
      </c>
      <c r="AN14" s="189"/>
      <c r="AP14" s="160">
        <v>3</v>
      </c>
      <c r="AQ14" s="155">
        <v>44238</v>
      </c>
      <c r="AR14" s="150" t="s">
        <v>1224</v>
      </c>
      <c r="AS14" s="150" t="s">
        <v>905</v>
      </c>
      <c r="AT14" s="150">
        <v>0.43</v>
      </c>
      <c r="AU14" s="150">
        <v>0.48</v>
      </c>
      <c r="AV14" s="161">
        <f t="shared" ref="AV14:AV41" si="5">IF(AND(ISBLANK(AT14),ISBLANK(AU14))=TRUE,"",ABS(AU14-AT14)/AVERAGE(AT14:AU14))</f>
        <v>0.10989010989010987</v>
      </c>
      <c r="AX14" s="160">
        <v>3</v>
      </c>
      <c r="AY14" s="155">
        <v>44319</v>
      </c>
      <c r="AZ14" s="150" t="s">
        <v>1260</v>
      </c>
      <c r="BA14" s="150" t="s">
        <v>1307</v>
      </c>
      <c r="BB14" s="150">
        <v>7.24</v>
      </c>
      <c r="BC14" s="150">
        <v>6.86</v>
      </c>
      <c r="BD14" s="161">
        <f t="shared" ref="BD14:BD41" si="6">IF(AND(ISBLANK(BB14),ISBLANK(BC14))=TRUE,"",ABS(BC14-BB14)/AVERAGE(BB14:BC14))</f>
        <v>5.3900709219858137E-2</v>
      </c>
      <c r="BF14" s="160">
        <v>3</v>
      </c>
      <c r="BG14" s="155">
        <v>44289</v>
      </c>
      <c r="BH14" s="150" t="s">
        <v>1244</v>
      </c>
      <c r="BI14" s="150" t="s">
        <v>911</v>
      </c>
      <c r="BJ14" s="150">
        <v>1.67</v>
      </c>
      <c r="BK14" s="150">
        <v>1.65</v>
      </c>
      <c r="BL14" s="161">
        <f t="shared" ref="BL14:BL41" si="7">IF(AND(ISBLANK(BJ14),ISBLANK(BK14))=TRUE,"",ABS(BK14-BJ14)/AVERAGE(BJ14:BK14))</f>
        <v>1.2048192771084348E-2</v>
      </c>
    </row>
    <row r="15" spans="1:64" x14ac:dyDescent="0.3">
      <c r="A15" s="106" t="s">
        <v>894</v>
      </c>
      <c r="B15" s="180" t="str">
        <f t="shared" si="0"/>
        <v/>
      </c>
      <c r="C15" s="180" t="str">
        <f t="shared" si="1"/>
        <v/>
      </c>
      <c r="D15" s="181"/>
      <c r="I15" s="160">
        <v>4</v>
      </c>
      <c r="J15" s="31"/>
      <c r="K15" s="150"/>
      <c r="L15" s="150"/>
      <c r="M15" s="150"/>
      <c r="N15" s="150"/>
      <c r="O15" s="161" t="str">
        <f t="shared" si="2"/>
        <v/>
      </c>
      <c r="Q15" s="160">
        <v>4</v>
      </c>
      <c r="R15" s="155">
        <v>44224</v>
      </c>
      <c r="S15" s="150" t="s">
        <v>1327</v>
      </c>
      <c r="T15" s="150" t="s">
        <v>914</v>
      </c>
      <c r="U15" s="150">
        <v>0.99</v>
      </c>
      <c r="V15" s="150">
        <v>1.23</v>
      </c>
      <c r="W15" s="161">
        <f t="shared" si="3"/>
        <v>0.21621621621621623</v>
      </c>
      <c r="Y15" s="160">
        <v>4</v>
      </c>
      <c r="Z15" s="155"/>
      <c r="AA15" s="150"/>
      <c r="AB15" s="150"/>
      <c r="AC15" s="150"/>
      <c r="AD15" s="150"/>
      <c r="AE15" s="161" t="str">
        <f t="shared" si="4"/>
        <v/>
      </c>
      <c r="AG15" s="160">
        <v>2</v>
      </c>
      <c r="AH15" s="149"/>
      <c r="AI15" s="154"/>
      <c r="AJ15" s="150"/>
      <c r="AK15" s="150"/>
      <c r="AL15" s="150"/>
      <c r="AM15" s="161" t="str">
        <f>IF(AND(ISBLANK(AK15),ISBLANK(AL15))=TRUE,"",ABS(AL15-AK15)/AVERAGE(AK15:AL15))</f>
        <v/>
      </c>
      <c r="AN15" s="189"/>
      <c r="AP15" s="160">
        <v>4</v>
      </c>
      <c r="AQ15" s="155">
        <v>44268</v>
      </c>
      <c r="AR15" s="150" t="s">
        <v>1229</v>
      </c>
      <c r="AS15" s="150" t="s">
        <v>905</v>
      </c>
      <c r="AT15" s="150">
        <v>0.38</v>
      </c>
      <c r="AU15" s="150">
        <v>0.35</v>
      </c>
      <c r="AV15" s="161">
        <f t="shared" si="5"/>
        <v>8.2191780821917887E-2</v>
      </c>
      <c r="AX15" s="160">
        <v>4</v>
      </c>
      <c r="AY15" s="155"/>
      <c r="AZ15" s="150"/>
      <c r="BA15" s="150"/>
      <c r="BB15" s="150"/>
      <c r="BC15" s="150"/>
      <c r="BD15" s="161" t="str">
        <f t="shared" si="6"/>
        <v/>
      </c>
      <c r="BF15" s="160">
        <v>4</v>
      </c>
      <c r="BG15" s="155"/>
      <c r="BH15" s="150"/>
      <c r="BI15" s="150"/>
      <c r="BJ15" s="150"/>
      <c r="BK15" s="150"/>
      <c r="BL15" s="161" t="str">
        <f t="shared" si="7"/>
        <v/>
      </c>
    </row>
    <row r="16" spans="1:64" x14ac:dyDescent="0.3">
      <c r="A16" s="106" t="s">
        <v>895</v>
      </c>
      <c r="B16" s="180" t="str">
        <f t="shared" si="0"/>
        <v/>
      </c>
      <c r="C16" s="180" t="str">
        <f t="shared" si="1"/>
        <v/>
      </c>
      <c r="D16" s="181"/>
      <c r="I16" s="160">
        <v>5</v>
      </c>
      <c r="J16" s="31"/>
      <c r="K16" s="150"/>
      <c r="L16" s="150"/>
      <c r="M16" s="150"/>
      <c r="N16" s="150"/>
      <c r="O16" s="161" t="str">
        <f t="shared" si="2"/>
        <v/>
      </c>
      <c r="Q16" s="160">
        <v>5</v>
      </c>
      <c r="R16" s="31">
        <v>44300</v>
      </c>
      <c r="S16" s="150" t="s">
        <v>1252</v>
      </c>
      <c r="T16" s="150" t="s">
        <v>914</v>
      </c>
      <c r="U16" s="150">
        <v>21.76</v>
      </c>
      <c r="V16" s="150">
        <v>21.18</v>
      </c>
      <c r="W16" s="161">
        <f t="shared" si="3"/>
        <v>2.7014438751746712E-2</v>
      </c>
      <c r="Y16" s="160">
        <v>5</v>
      </c>
      <c r="Z16" s="31"/>
      <c r="AA16" s="150"/>
      <c r="AB16" s="150"/>
      <c r="AC16" s="150"/>
      <c r="AD16" s="150"/>
      <c r="AE16" s="161" t="str">
        <f t="shared" si="4"/>
        <v/>
      </c>
      <c r="AG16" s="160">
        <v>3</v>
      </c>
      <c r="AH16" s="155"/>
      <c r="AI16" s="150"/>
      <c r="AJ16" s="150"/>
      <c r="AK16" s="150"/>
      <c r="AL16" s="150"/>
      <c r="AM16" s="161" t="str">
        <f t="shared" ref="AM16:AM43" si="8">IF(AND(ISBLANK(AK16),ISBLANK(AL16))=TRUE,"",ABS(AL16-AK16)/AVERAGE(AK16:AL16))</f>
        <v/>
      </c>
      <c r="AN16" s="189"/>
      <c r="AP16" s="160">
        <v>5</v>
      </c>
      <c r="AQ16" s="31">
        <v>44272</v>
      </c>
      <c r="AR16" s="150" t="s">
        <v>1236</v>
      </c>
      <c r="AS16" s="150" t="s">
        <v>905</v>
      </c>
      <c r="AT16" s="150">
        <v>0.71</v>
      </c>
      <c r="AU16" s="150">
        <v>0.77</v>
      </c>
      <c r="AV16" s="161">
        <f t="shared" si="5"/>
        <v>8.1081081081081155E-2</v>
      </c>
      <c r="AX16" s="160">
        <v>5</v>
      </c>
      <c r="AY16" s="31"/>
      <c r="AZ16" s="150"/>
      <c r="BA16" s="150"/>
      <c r="BB16" s="150"/>
      <c r="BC16" s="150"/>
      <c r="BD16" s="161" t="str">
        <f t="shared" si="6"/>
        <v/>
      </c>
      <c r="BF16" s="160">
        <v>5</v>
      </c>
      <c r="BG16" s="31"/>
      <c r="BH16" s="150"/>
      <c r="BI16" s="150"/>
      <c r="BJ16" s="150"/>
      <c r="BK16" s="150"/>
      <c r="BL16" s="161" t="str">
        <f t="shared" si="7"/>
        <v/>
      </c>
    </row>
    <row r="17" spans="1:64" x14ac:dyDescent="0.3">
      <c r="A17" s="106" t="s">
        <v>896</v>
      </c>
      <c r="B17" s="180" t="str">
        <f t="shared" si="0"/>
        <v/>
      </c>
      <c r="C17" s="180" t="str">
        <f t="shared" si="1"/>
        <v/>
      </c>
      <c r="D17" s="181"/>
      <c r="I17" s="160">
        <v>6</v>
      </c>
      <c r="J17" s="31"/>
      <c r="K17" s="150"/>
      <c r="L17" s="150"/>
      <c r="M17" s="150"/>
      <c r="N17" s="150"/>
      <c r="O17" s="161" t="str">
        <f t="shared" si="2"/>
        <v/>
      </c>
      <c r="Q17" s="160">
        <v>6</v>
      </c>
      <c r="R17" s="31">
        <v>44319</v>
      </c>
      <c r="S17" s="150" t="s">
        <v>1261</v>
      </c>
      <c r="T17" s="150" t="s">
        <v>914</v>
      </c>
      <c r="U17" s="150">
        <v>4.8499999999999996</v>
      </c>
      <c r="V17" s="150">
        <v>4.22</v>
      </c>
      <c r="W17" s="161">
        <f t="shared" si="3"/>
        <v>0.13891951488423371</v>
      </c>
      <c r="Y17" s="160">
        <v>6</v>
      </c>
      <c r="Z17" s="31"/>
      <c r="AA17" s="150"/>
      <c r="AB17" s="150"/>
      <c r="AC17" s="150"/>
      <c r="AD17" s="150"/>
      <c r="AE17" s="161" t="str">
        <f t="shared" si="4"/>
        <v/>
      </c>
      <c r="AG17" s="160">
        <v>4</v>
      </c>
      <c r="AH17" s="155"/>
      <c r="AI17" s="150"/>
      <c r="AJ17" s="150"/>
      <c r="AK17" s="150"/>
      <c r="AL17" s="150"/>
      <c r="AM17" s="161" t="str">
        <f t="shared" si="8"/>
        <v/>
      </c>
      <c r="AN17" s="189"/>
      <c r="AP17" s="160">
        <v>6</v>
      </c>
      <c r="AQ17" s="31">
        <v>44300</v>
      </c>
      <c r="AR17" s="150" t="s">
        <v>1250</v>
      </c>
      <c r="AS17" s="150" t="s">
        <v>905</v>
      </c>
      <c r="AT17" s="150">
        <v>0.46</v>
      </c>
      <c r="AU17" s="150">
        <v>0.41</v>
      </c>
      <c r="AV17" s="161">
        <f t="shared" si="5"/>
        <v>0.11494252873563229</v>
      </c>
      <c r="AX17" s="160">
        <v>6</v>
      </c>
      <c r="AY17" s="31"/>
      <c r="AZ17" s="150"/>
      <c r="BA17" s="150"/>
      <c r="BB17" s="150"/>
      <c r="BC17" s="150"/>
      <c r="BD17" s="161" t="str">
        <f t="shared" si="6"/>
        <v/>
      </c>
      <c r="BF17" s="160">
        <v>6</v>
      </c>
      <c r="BG17" s="31"/>
      <c r="BH17" s="150"/>
      <c r="BI17" s="150"/>
      <c r="BJ17" s="150"/>
      <c r="BK17" s="150"/>
      <c r="BL17" s="161" t="str">
        <f t="shared" si="7"/>
        <v/>
      </c>
    </row>
    <row r="18" spans="1:64" x14ac:dyDescent="0.3">
      <c r="A18" s="106" t="s">
        <v>897</v>
      </c>
      <c r="B18" s="180">
        <f>O45</f>
        <v>0.17742083557089949</v>
      </c>
      <c r="C18" s="180">
        <f>O46</f>
        <v>0.23216036182193486</v>
      </c>
      <c r="D18" s="181"/>
      <c r="I18" s="160">
        <v>7</v>
      </c>
      <c r="J18" s="31"/>
      <c r="K18" s="150"/>
      <c r="L18" s="150"/>
      <c r="M18" s="150"/>
      <c r="N18" s="150"/>
      <c r="O18" s="161" t="str">
        <f t="shared" si="2"/>
        <v/>
      </c>
      <c r="Q18" s="160">
        <v>7</v>
      </c>
      <c r="R18" s="31">
        <v>44327</v>
      </c>
      <c r="S18" s="150" t="s">
        <v>1264</v>
      </c>
      <c r="T18" s="150" t="s">
        <v>914</v>
      </c>
      <c r="U18" s="150">
        <v>2</v>
      </c>
      <c r="V18" s="150">
        <v>1.96</v>
      </c>
      <c r="W18" s="161">
        <f t="shared" si="3"/>
        <v>2.0202020202020221E-2</v>
      </c>
      <c r="Y18" s="160">
        <v>7</v>
      </c>
      <c r="Z18" s="31"/>
      <c r="AA18" s="150"/>
      <c r="AB18" s="150"/>
      <c r="AC18" s="150"/>
      <c r="AD18" s="150"/>
      <c r="AE18" s="161" t="str">
        <f t="shared" si="4"/>
        <v/>
      </c>
      <c r="AG18" s="160">
        <v>5</v>
      </c>
      <c r="AH18" s="31"/>
      <c r="AI18" s="150"/>
      <c r="AJ18" s="150"/>
      <c r="AK18" s="150"/>
      <c r="AL18" s="150"/>
      <c r="AM18" s="161" t="str">
        <f t="shared" si="8"/>
        <v/>
      </c>
      <c r="AN18" s="189"/>
      <c r="AP18" s="160">
        <v>7</v>
      </c>
      <c r="AQ18" s="31">
        <v>44306</v>
      </c>
      <c r="AR18" s="150" t="s">
        <v>1256</v>
      </c>
      <c r="AS18" s="150" t="s">
        <v>905</v>
      </c>
      <c r="AT18" s="150">
        <v>0.23</v>
      </c>
      <c r="AU18" s="150">
        <v>0.26</v>
      </c>
      <c r="AV18" s="161">
        <f t="shared" si="5"/>
        <v>0.12244897959183673</v>
      </c>
      <c r="AX18" s="160">
        <v>7</v>
      </c>
      <c r="AY18" s="31"/>
      <c r="AZ18" s="150"/>
      <c r="BA18" s="150"/>
      <c r="BB18" s="150"/>
      <c r="BC18" s="150"/>
      <c r="BD18" s="161" t="str">
        <f t="shared" si="6"/>
        <v/>
      </c>
      <c r="BF18" s="160">
        <v>7</v>
      </c>
      <c r="BG18" s="31"/>
      <c r="BH18" s="150"/>
      <c r="BI18" s="150"/>
      <c r="BJ18" s="150"/>
      <c r="BK18" s="150"/>
      <c r="BL18" s="161" t="str">
        <f t="shared" si="7"/>
        <v/>
      </c>
    </row>
    <row r="19" spans="1:64" x14ac:dyDescent="0.3">
      <c r="A19" s="106" t="s">
        <v>898</v>
      </c>
      <c r="B19" s="180" t="str">
        <f>AV38</f>
        <v/>
      </c>
      <c r="C19" s="180" t="str">
        <f>AV39</f>
        <v/>
      </c>
      <c r="D19" s="181"/>
      <c r="I19" s="160">
        <v>8</v>
      </c>
      <c r="J19" s="31"/>
      <c r="K19" s="150"/>
      <c r="L19" s="150"/>
      <c r="M19" s="150"/>
      <c r="N19" s="150"/>
      <c r="O19" s="161" t="str">
        <f t="shared" si="2"/>
        <v/>
      </c>
      <c r="Q19" s="160">
        <v>8</v>
      </c>
      <c r="R19" s="31"/>
      <c r="S19" s="150"/>
      <c r="T19" s="150"/>
      <c r="U19" s="150"/>
      <c r="V19" s="150"/>
      <c r="W19" s="161" t="str">
        <f t="shared" si="3"/>
        <v/>
      </c>
      <c r="Y19" s="160">
        <v>8</v>
      </c>
      <c r="Z19" s="31"/>
      <c r="AA19" s="150"/>
      <c r="AB19" s="150"/>
      <c r="AC19" s="150"/>
      <c r="AD19" s="150"/>
      <c r="AE19" s="161" t="str">
        <f t="shared" si="4"/>
        <v/>
      </c>
      <c r="AG19" s="160">
        <v>6</v>
      </c>
      <c r="AH19" s="31"/>
      <c r="AI19" s="150"/>
      <c r="AJ19" s="150"/>
      <c r="AK19" s="150"/>
      <c r="AL19" s="150"/>
      <c r="AM19" s="161" t="str">
        <f t="shared" si="8"/>
        <v/>
      </c>
      <c r="AN19" s="189"/>
      <c r="AP19" s="160">
        <v>8</v>
      </c>
      <c r="AQ19" s="31">
        <v>44315</v>
      </c>
      <c r="AR19" s="150" t="s">
        <v>1258</v>
      </c>
      <c r="AS19" s="150" t="s">
        <v>905</v>
      </c>
      <c r="AT19" s="150">
        <v>0.1</v>
      </c>
      <c r="AU19" s="150">
        <v>0.1</v>
      </c>
      <c r="AV19" s="161">
        <f t="shared" si="5"/>
        <v>0</v>
      </c>
      <c r="AX19" s="160">
        <v>8</v>
      </c>
      <c r="AY19" s="31"/>
      <c r="AZ19" s="150"/>
      <c r="BA19" s="150"/>
      <c r="BB19" s="150"/>
      <c r="BC19" s="150"/>
      <c r="BD19" s="161" t="str">
        <f t="shared" si="6"/>
        <v/>
      </c>
      <c r="BF19" s="160">
        <v>8</v>
      </c>
      <c r="BG19" s="31"/>
      <c r="BH19" s="150"/>
      <c r="BI19" s="150"/>
      <c r="BJ19" s="150"/>
      <c r="BK19" s="150"/>
      <c r="BL19" s="161" t="str">
        <f t="shared" si="7"/>
        <v/>
      </c>
    </row>
    <row r="20" spans="1:64" x14ac:dyDescent="0.3">
      <c r="A20" s="106" t="s">
        <v>899</v>
      </c>
      <c r="B20" s="180" t="str">
        <f>AV39</f>
        <v/>
      </c>
      <c r="C20" s="180" t="str">
        <f>AV40</f>
        <v/>
      </c>
      <c r="D20" s="181"/>
      <c r="I20" s="160">
        <v>9</v>
      </c>
      <c r="J20" s="31"/>
      <c r="K20" s="150"/>
      <c r="L20" s="150"/>
      <c r="M20" s="150"/>
      <c r="N20" s="150"/>
      <c r="O20" s="161" t="str">
        <f t="shared" si="2"/>
        <v/>
      </c>
      <c r="Q20" s="160">
        <v>9</v>
      </c>
      <c r="R20" s="31"/>
      <c r="S20" s="150"/>
      <c r="T20" s="150"/>
      <c r="U20" s="150"/>
      <c r="V20" s="150"/>
      <c r="W20" s="161" t="str">
        <f t="shared" si="3"/>
        <v/>
      </c>
      <c r="Y20" s="160">
        <v>9</v>
      </c>
      <c r="Z20" s="31"/>
      <c r="AA20" s="150"/>
      <c r="AB20" s="150"/>
      <c r="AC20" s="150"/>
      <c r="AD20" s="150"/>
      <c r="AE20" s="161" t="str">
        <f t="shared" si="4"/>
        <v/>
      </c>
      <c r="AG20" s="160">
        <v>7</v>
      </c>
      <c r="AH20" s="31"/>
      <c r="AI20" s="150"/>
      <c r="AJ20" s="150"/>
      <c r="AK20" s="150"/>
      <c r="AL20" s="150"/>
      <c r="AM20" s="161" t="str">
        <f t="shared" si="8"/>
        <v/>
      </c>
      <c r="AN20" s="189"/>
      <c r="AP20" s="160">
        <v>9</v>
      </c>
      <c r="AQ20" s="31">
        <v>44319</v>
      </c>
      <c r="AR20" s="150" t="s">
        <v>1262</v>
      </c>
      <c r="AS20" s="150" t="s">
        <v>905</v>
      </c>
      <c r="AT20" s="150">
        <v>0.47</v>
      </c>
      <c r="AU20" s="150">
        <v>0.48</v>
      </c>
      <c r="AV20" s="161">
        <f t="shared" si="5"/>
        <v>2.1052631578947389E-2</v>
      </c>
      <c r="AX20" s="160">
        <v>9</v>
      </c>
      <c r="AY20" s="31"/>
      <c r="AZ20" s="150"/>
      <c r="BA20" s="150"/>
      <c r="BB20" s="150"/>
      <c r="BC20" s="150"/>
      <c r="BD20" s="161" t="str">
        <f t="shared" si="6"/>
        <v/>
      </c>
      <c r="BF20" s="160">
        <v>9</v>
      </c>
      <c r="BG20" s="31"/>
      <c r="BH20" s="150"/>
      <c r="BI20" s="150"/>
      <c r="BJ20" s="150"/>
      <c r="BK20" s="150"/>
      <c r="BL20" s="161" t="str">
        <f t="shared" si="7"/>
        <v/>
      </c>
    </row>
    <row r="21" spans="1:64" x14ac:dyDescent="0.3">
      <c r="A21" s="106" t="s">
        <v>900</v>
      </c>
      <c r="B21" s="180">
        <f>AE45</f>
        <v>4.0431658973444085E-2</v>
      </c>
      <c r="C21" s="180">
        <f>AE46</f>
        <v>5.0759159422900907E-2</v>
      </c>
      <c r="D21" s="181"/>
      <c r="I21" s="160">
        <v>10</v>
      </c>
      <c r="J21" s="31"/>
      <c r="K21" s="150"/>
      <c r="L21" s="150"/>
      <c r="M21" s="150"/>
      <c r="N21" s="150"/>
      <c r="O21" s="161" t="str">
        <f t="shared" si="2"/>
        <v/>
      </c>
      <c r="Q21" s="160">
        <v>10</v>
      </c>
      <c r="R21" s="31"/>
      <c r="S21" s="150"/>
      <c r="T21" s="150"/>
      <c r="U21" s="150"/>
      <c r="V21" s="150"/>
      <c r="W21" s="161" t="str">
        <f t="shared" si="3"/>
        <v/>
      </c>
      <c r="Y21" s="160">
        <v>10</v>
      </c>
      <c r="Z21" s="31"/>
      <c r="AA21" s="150"/>
      <c r="AB21" s="150"/>
      <c r="AC21" s="150"/>
      <c r="AD21" s="150"/>
      <c r="AE21" s="161" t="str">
        <f t="shared" si="4"/>
        <v/>
      </c>
      <c r="AG21" s="160">
        <v>8</v>
      </c>
      <c r="AH21" s="31"/>
      <c r="AI21" s="150"/>
      <c r="AJ21" s="150"/>
      <c r="AK21" s="150"/>
      <c r="AL21" s="150"/>
      <c r="AM21" s="161" t="str">
        <f t="shared" si="8"/>
        <v/>
      </c>
      <c r="AN21" s="189"/>
      <c r="AP21" s="160">
        <v>10</v>
      </c>
      <c r="AQ21" s="31"/>
      <c r="AR21" s="150"/>
      <c r="AS21" s="150"/>
      <c r="AT21" s="150"/>
      <c r="AU21" s="150"/>
      <c r="AV21" s="161" t="str">
        <f t="shared" si="5"/>
        <v/>
      </c>
      <c r="AX21" s="160">
        <v>10</v>
      </c>
      <c r="AY21" s="31"/>
      <c r="AZ21" s="150"/>
      <c r="BA21" s="150"/>
      <c r="BB21" s="150"/>
      <c r="BC21" s="150"/>
      <c r="BD21" s="161" t="str">
        <f t="shared" si="6"/>
        <v/>
      </c>
      <c r="BF21" s="160">
        <v>10</v>
      </c>
      <c r="BG21" s="31"/>
      <c r="BH21" s="150"/>
      <c r="BI21" s="150"/>
      <c r="BJ21" s="150"/>
      <c r="BK21" s="150"/>
      <c r="BL21" s="161" t="str">
        <f t="shared" si="7"/>
        <v/>
      </c>
    </row>
    <row r="22" spans="1:64" x14ac:dyDescent="0.3">
      <c r="A22" s="106" t="s">
        <v>901</v>
      </c>
      <c r="B22" s="180" t="str">
        <f>AV41</f>
        <v/>
      </c>
      <c r="C22" s="180"/>
      <c r="D22" s="181"/>
      <c r="I22" s="160">
        <v>11</v>
      </c>
      <c r="J22" s="31"/>
      <c r="K22" s="150"/>
      <c r="L22" s="150"/>
      <c r="M22" s="150"/>
      <c r="N22" s="150"/>
      <c r="O22" s="161" t="str">
        <f t="shared" si="2"/>
        <v/>
      </c>
      <c r="Q22" s="160">
        <v>11</v>
      </c>
      <c r="R22" s="31"/>
      <c r="S22" s="150"/>
      <c r="T22" s="150"/>
      <c r="U22" s="150"/>
      <c r="V22" s="150"/>
      <c r="W22" s="161" t="str">
        <f t="shared" si="3"/>
        <v/>
      </c>
      <c r="Y22" s="160">
        <v>11</v>
      </c>
      <c r="Z22" s="31"/>
      <c r="AA22" s="150"/>
      <c r="AB22" s="150"/>
      <c r="AC22" s="150"/>
      <c r="AD22" s="150"/>
      <c r="AE22" s="161" t="str">
        <f t="shared" si="4"/>
        <v/>
      </c>
      <c r="AG22" s="160">
        <v>9</v>
      </c>
      <c r="AH22" s="31"/>
      <c r="AI22" s="150"/>
      <c r="AJ22" s="150"/>
      <c r="AK22" s="150"/>
      <c r="AL22" s="150"/>
      <c r="AM22" s="161" t="str">
        <f t="shared" si="8"/>
        <v/>
      </c>
      <c r="AN22" s="189"/>
      <c r="AP22" s="160">
        <v>11</v>
      </c>
      <c r="AQ22" s="31"/>
      <c r="AR22" s="150"/>
      <c r="AS22" s="150"/>
      <c r="AT22" s="150"/>
      <c r="AU22" s="150"/>
      <c r="AV22" s="161" t="str">
        <f t="shared" si="5"/>
        <v/>
      </c>
      <c r="AX22" s="160">
        <v>11</v>
      </c>
      <c r="AY22" s="31"/>
      <c r="AZ22" s="150"/>
      <c r="BA22" s="150"/>
      <c r="BB22" s="150"/>
      <c r="BC22" s="150"/>
      <c r="BD22" s="161" t="str">
        <f t="shared" si="6"/>
        <v/>
      </c>
      <c r="BF22" s="160">
        <v>11</v>
      </c>
      <c r="BG22" s="31"/>
      <c r="BH22" s="150"/>
      <c r="BI22" s="150"/>
      <c r="BJ22" s="150"/>
      <c r="BK22" s="150"/>
      <c r="BL22" s="161" t="str">
        <f t="shared" si="7"/>
        <v/>
      </c>
    </row>
    <row r="23" spans="1:64" x14ac:dyDescent="0.3">
      <c r="A23" s="182" t="s">
        <v>902</v>
      </c>
      <c r="B23" s="183"/>
      <c r="C23" s="183"/>
      <c r="D23" s="184"/>
      <c r="I23" s="160">
        <v>12</v>
      </c>
      <c r="J23" s="31"/>
      <c r="K23" s="150"/>
      <c r="L23" s="150"/>
      <c r="M23" s="150"/>
      <c r="N23" s="150"/>
      <c r="O23" s="161" t="str">
        <f t="shared" si="2"/>
        <v/>
      </c>
      <c r="Q23" s="160">
        <v>12</v>
      </c>
      <c r="R23" s="31"/>
      <c r="S23" s="150"/>
      <c r="T23" s="150"/>
      <c r="U23" s="150"/>
      <c r="V23" s="150"/>
      <c r="W23" s="161" t="str">
        <f t="shared" si="3"/>
        <v/>
      </c>
      <c r="Y23" s="160">
        <v>12</v>
      </c>
      <c r="Z23" s="31"/>
      <c r="AA23" s="150"/>
      <c r="AB23" s="150"/>
      <c r="AC23" s="150"/>
      <c r="AD23" s="150"/>
      <c r="AE23" s="161" t="str">
        <f t="shared" si="4"/>
        <v/>
      </c>
      <c r="AG23" s="160">
        <v>10</v>
      </c>
      <c r="AH23" s="31"/>
      <c r="AI23" s="150"/>
      <c r="AJ23" s="150"/>
      <c r="AK23" s="150"/>
      <c r="AL23" s="150"/>
      <c r="AM23" s="161" t="str">
        <f t="shared" si="8"/>
        <v/>
      </c>
      <c r="AN23" s="189"/>
      <c r="AP23" s="160">
        <v>12</v>
      </c>
      <c r="AQ23" s="31"/>
      <c r="AR23" s="150"/>
      <c r="AS23" s="150"/>
      <c r="AT23" s="150"/>
      <c r="AU23" s="150"/>
      <c r="AV23" s="161" t="str">
        <f t="shared" si="5"/>
        <v/>
      </c>
      <c r="AX23" s="160">
        <v>12</v>
      </c>
      <c r="AY23" s="31"/>
      <c r="AZ23" s="150"/>
      <c r="BA23" s="150"/>
      <c r="BB23" s="150"/>
      <c r="BC23" s="150"/>
      <c r="BD23" s="161" t="str">
        <f t="shared" si="6"/>
        <v/>
      </c>
      <c r="BF23" s="160">
        <v>12</v>
      </c>
      <c r="BG23" s="31"/>
      <c r="BH23" s="150"/>
      <c r="BI23" s="150"/>
      <c r="BJ23" s="150"/>
      <c r="BK23" s="150"/>
      <c r="BL23" s="161" t="str">
        <f t="shared" si="7"/>
        <v/>
      </c>
    </row>
    <row r="24" spans="1:64" x14ac:dyDescent="0.3">
      <c r="A24" s="106" t="s">
        <v>903</v>
      </c>
      <c r="B24" s="180"/>
      <c r="C24" s="180"/>
      <c r="D24" s="181"/>
      <c r="I24" s="160">
        <v>13</v>
      </c>
      <c r="J24" s="31"/>
      <c r="K24" s="150"/>
      <c r="L24" s="150"/>
      <c r="M24" s="150"/>
      <c r="N24" s="150"/>
      <c r="O24" s="161" t="str">
        <f t="shared" si="2"/>
        <v/>
      </c>
      <c r="Q24" s="160">
        <v>13</v>
      </c>
      <c r="R24" s="31"/>
      <c r="S24" s="150"/>
      <c r="T24" s="150"/>
      <c r="U24" s="150"/>
      <c r="V24" s="150"/>
      <c r="W24" s="161" t="str">
        <f t="shared" si="3"/>
        <v/>
      </c>
      <c r="Y24" s="160">
        <v>13</v>
      </c>
      <c r="Z24" s="31"/>
      <c r="AA24" s="150"/>
      <c r="AB24" s="150"/>
      <c r="AC24" s="150"/>
      <c r="AD24" s="150"/>
      <c r="AE24" s="161" t="str">
        <f t="shared" ref="AE24:AE41" si="9">IF(AND(ISBLANK(AC24),ISBLANK(AD24))=TRUE,"",ABS(AD24-AC24)/AVERAGE(AC24:AD24))</f>
        <v/>
      </c>
      <c r="AG24" s="160">
        <v>11</v>
      </c>
      <c r="AH24" s="31"/>
      <c r="AI24" s="150"/>
      <c r="AJ24" s="150"/>
      <c r="AK24" s="150"/>
      <c r="AL24" s="150"/>
      <c r="AM24" s="161" t="str">
        <f t="shared" si="8"/>
        <v/>
      </c>
      <c r="AN24" s="189"/>
      <c r="AP24" s="160">
        <v>13</v>
      </c>
      <c r="AQ24" s="31"/>
      <c r="AR24" s="150"/>
      <c r="AS24" s="150"/>
      <c r="AT24" s="150"/>
      <c r="AU24" s="150"/>
      <c r="AV24" s="161" t="str">
        <f t="shared" si="5"/>
        <v/>
      </c>
      <c r="AX24" s="160">
        <v>13</v>
      </c>
      <c r="AY24" s="31"/>
      <c r="AZ24" s="150"/>
      <c r="BA24" s="150"/>
      <c r="BB24" s="150"/>
      <c r="BC24" s="150"/>
      <c r="BD24" s="161" t="str">
        <f t="shared" si="6"/>
        <v/>
      </c>
      <c r="BF24" s="160">
        <v>13</v>
      </c>
      <c r="BG24" s="31"/>
      <c r="BH24" s="150"/>
      <c r="BI24" s="150"/>
      <c r="BJ24" s="150"/>
      <c r="BK24" s="150"/>
      <c r="BL24" s="161" t="str">
        <f t="shared" si="7"/>
        <v/>
      </c>
    </row>
    <row r="25" spans="1:64" x14ac:dyDescent="0.3">
      <c r="A25" s="106" t="s">
        <v>904</v>
      </c>
      <c r="B25" s="180"/>
      <c r="C25" s="180"/>
      <c r="D25" s="181"/>
      <c r="I25" s="160">
        <v>14</v>
      </c>
      <c r="J25" s="31"/>
      <c r="K25" s="150"/>
      <c r="L25" s="150"/>
      <c r="M25" s="150"/>
      <c r="N25" s="150"/>
      <c r="O25" s="161" t="str">
        <f t="shared" si="2"/>
        <v/>
      </c>
      <c r="Q25" s="160">
        <v>14</v>
      </c>
      <c r="R25" s="31"/>
      <c r="S25" s="150"/>
      <c r="T25" s="150"/>
      <c r="U25" s="150"/>
      <c r="V25" s="150"/>
      <c r="W25" s="161" t="str">
        <f t="shared" si="3"/>
        <v/>
      </c>
      <c r="Y25" s="160">
        <v>14</v>
      </c>
      <c r="Z25" s="31"/>
      <c r="AA25" s="150"/>
      <c r="AB25" s="150"/>
      <c r="AC25" s="150"/>
      <c r="AD25" s="150"/>
      <c r="AE25" s="161" t="str">
        <f t="shared" si="9"/>
        <v/>
      </c>
      <c r="AG25" s="160">
        <v>12</v>
      </c>
      <c r="AH25" s="31"/>
      <c r="AI25" s="150"/>
      <c r="AJ25" s="150"/>
      <c r="AK25" s="150"/>
      <c r="AL25" s="150"/>
      <c r="AM25" s="161" t="str">
        <f t="shared" si="8"/>
        <v/>
      </c>
      <c r="AN25" s="189"/>
      <c r="AP25" s="160">
        <v>14</v>
      </c>
      <c r="AQ25" s="31"/>
      <c r="AR25" s="150"/>
      <c r="AS25" s="150"/>
      <c r="AT25" s="150"/>
      <c r="AU25" s="150"/>
      <c r="AV25" s="161" t="str">
        <f t="shared" si="5"/>
        <v/>
      </c>
      <c r="AX25" s="160">
        <v>14</v>
      </c>
      <c r="AY25" s="31"/>
      <c r="AZ25" s="150"/>
      <c r="BA25" s="150"/>
      <c r="BB25" s="150"/>
      <c r="BC25" s="150"/>
      <c r="BD25" s="161" t="str">
        <f t="shared" si="6"/>
        <v/>
      </c>
      <c r="BF25" s="160">
        <v>14</v>
      </c>
      <c r="BG25" s="31"/>
      <c r="BH25" s="150"/>
      <c r="BI25" s="150"/>
      <c r="BJ25" s="150"/>
      <c r="BK25" s="150"/>
      <c r="BL25" s="161" t="str">
        <f t="shared" si="7"/>
        <v/>
      </c>
    </row>
    <row r="26" spans="1:64" x14ac:dyDescent="0.3">
      <c r="A26" s="106" t="s">
        <v>905</v>
      </c>
      <c r="B26" s="180">
        <f>AV45</f>
        <v>0.2486141788362129</v>
      </c>
      <c r="C26" s="180">
        <f>AV46</f>
        <v>0.32366259580601631</v>
      </c>
      <c r="D26" s="181"/>
      <c r="I26" s="160">
        <v>15</v>
      </c>
      <c r="J26" s="31"/>
      <c r="K26" s="150"/>
      <c r="L26" s="150"/>
      <c r="M26" s="150"/>
      <c r="N26" s="150"/>
      <c r="O26" s="161" t="str">
        <f t="shared" si="2"/>
        <v/>
      </c>
      <c r="Q26" s="160">
        <v>15</v>
      </c>
      <c r="R26" s="31"/>
      <c r="S26" s="150"/>
      <c r="T26" s="150"/>
      <c r="U26" s="150"/>
      <c r="V26" s="150"/>
      <c r="W26" s="161" t="str">
        <f t="shared" si="3"/>
        <v/>
      </c>
      <c r="Y26" s="160">
        <v>15</v>
      </c>
      <c r="Z26" s="31"/>
      <c r="AA26" s="150"/>
      <c r="AB26" s="150"/>
      <c r="AC26" s="150"/>
      <c r="AD26" s="150"/>
      <c r="AE26" s="161" t="str">
        <f t="shared" si="9"/>
        <v/>
      </c>
      <c r="AG26" s="160">
        <v>13</v>
      </c>
      <c r="AH26" s="31"/>
      <c r="AI26" s="150"/>
      <c r="AJ26" s="150"/>
      <c r="AK26" s="150"/>
      <c r="AL26" s="150"/>
      <c r="AM26" s="161" t="str">
        <f t="shared" si="8"/>
        <v/>
      </c>
      <c r="AN26" s="189"/>
      <c r="AP26" s="160">
        <v>15</v>
      </c>
      <c r="AQ26" s="31"/>
      <c r="AR26" s="150"/>
      <c r="AS26" s="150"/>
      <c r="AT26" s="150"/>
      <c r="AU26" s="150"/>
      <c r="AV26" s="161" t="str">
        <f t="shared" si="5"/>
        <v/>
      </c>
      <c r="AX26" s="160">
        <v>15</v>
      </c>
      <c r="AY26" s="31"/>
      <c r="AZ26" s="150"/>
      <c r="BA26" s="150"/>
      <c r="BB26" s="150"/>
      <c r="BC26" s="150"/>
      <c r="BD26" s="161" t="str">
        <f t="shared" si="6"/>
        <v/>
      </c>
      <c r="BF26" s="160">
        <v>15</v>
      </c>
      <c r="BG26" s="31"/>
      <c r="BH26" s="150"/>
      <c r="BI26" s="150"/>
      <c r="BJ26" s="150"/>
      <c r="BK26" s="150"/>
      <c r="BL26" s="161" t="str">
        <f t="shared" si="7"/>
        <v/>
      </c>
    </row>
    <row r="27" spans="1:64" x14ac:dyDescent="0.3">
      <c r="A27" s="106" t="s">
        <v>906</v>
      </c>
      <c r="B27" s="180"/>
      <c r="C27" s="180"/>
      <c r="D27" s="181"/>
      <c r="I27" s="160">
        <v>16</v>
      </c>
      <c r="J27" s="31"/>
      <c r="K27" s="150"/>
      <c r="L27" s="150"/>
      <c r="M27" s="150"/>
      <c r="N27" s="150"/>
      <c r="O27" s="161" t="str">
        <f t="shared" si="2"/>
        <v/>
      </c>
      <c r="Q27" s="160">
        <v>16</v>
      </c>
      <c r="R27" s="31"/>
      <c r="S27" s="150"/>
      <c r="T27" s="150"/>
      <c r="U27" s="150"/>
      <c r="V27" s="150"/>
      <c r="W27" s="161" t="str">
        <f t="shared" si="3"/>
        <v/>
      </c>
      <c r="Y27" s="160">
        <v>16</v>
      </c>
      <c r="Z27" s="31"/>
      <c r="AA27" s="150"/>
      <c r="AB27" s="150"/>
      <c r="AC27" s="150"/>
      <c r="AD27" s="150"/>
      <c r="AE27" s="161" t="str">
        <f t="shared" si="9"/>
        <v/>
      </c>
      <c r="AG27" s="160">
        <v>14</v>
      </c>
      <c r="AH27" s="31"/>
      <c r="AI27" s="150"/>
      <c r="AJ27" s="150"/>
      <c r="AK27" s="150"/>
      <c r="AL27" s="150"/>
      <c r="AM27" s="161" t="str">
        <f t="shared" si="8"/>
        <v/>
      </c>
      <c r="AN27" s="189"/>
      <c r="AP27" s="160">
        <v>16</v>
      </c>
      <c r="AQ27" s="31"/>
      <c r="AR27" s="150"/>
      <c r="AS27" s="150"/>
      <c r="AT27" s="150"/>
      <c r="AU27" s="150"/>
      <c r="AV27" s="161" t="str">
        <f t="shared" si="5"/>
        <v/>
      </c>
      <c r="AX27" s="160">
        <v>16</v>
      </c>
      <c r="AY27" s="31"/>
      <c r="AZ27" s="150"/>
      <c r="BA27" s="150"/>
      <c r="BB27" s="150"/>
      <c r="BC27" s="150"/>
      <c r="BD27" s="161" t="str">
        <f t="shared" si="6"/>
        <v/>
      </c>
      <c r="BF27" s="160">
        <v>16</v>
      </c>
      <c r="BG27" s="31"/>
      <c r="BH27" s="150"/>
      <c r="BI27" s="150"/>
      <c r="BJ27" s="150"/>
      <c r="BK27" s="150"/>
      <c r="BL27" s="161" t="str">
        <f t="shared" si="7"/>
        <v/>
      </c>
    </row>
    <row r="28" spans="1:64" x14ac:dyDescent="0.3">
      <c r="A28" s="106" t="s">
        <v>1338</v>
      </c>
      <c r="B28" s="180"/>
      <c r="C28" s="180"/>
      <c r="D28" s="181"/>
      <c r="I28" s="160">
        <v>17</v>
      </c>
      <c r="J28" s="31"/>
      <c r="K28" s="150"/>
      <c r="L28" s="150"/>
      <c r="M28" s="150"/>
      <c r="N28" s="150"/>
      <c r="O28" s="161" t="str">
        <f t="shared" si="2"/>
        <v/>
      </c>
      <c r="Q28" s="160">
        <v>17</v>
      </c>
      <c r="R28" s="31"/>
      <c r="S28" s="150"/>
      <c r="T28" s="150"/>
      <c r="U28" s="150"/>
      <c r="V28" s="150"/>
      <c r="W28" s="161" t="str">
        <f t="shared" si="3"/>
        <v/>
      </c>
      <c r="Y28" s="160">
        <v>17</v>
      </c>
      <c r="Z28" s="31"/>
      <c r="AA28" s="150"/>
      <c r="AB28" s="150"/>
      <c r="AC28" s="150"/>
      <c r="AD28" s="150"/>
      <c r="AE28" s="161" t="str">
        <f t="shared" si="9"/>
        <v/>
      </c>
      <c r="AG28" s="160">
        <v>15</v>
      </c>
      <c r="AH28" s="31"/>
      <c r="AI28" s="150"/>
      <c r="AJ28" s="150"/>
      <c r="AK28" s="150"/>
      <c r="AL28" s="150"/>
      <c r="AM28" s="161" t="str">
        <f t="shared" si="8"/>
        <v/>
      </c>
      <c r="AN28" s="189"/>
      <c r="AP28" s="160">
        <v>17</v>
      </c>
      <c r="AQ28" s="31"/>
      <c r="AR28" s="150"/>
      <c r="AS28" s="150"/>
      <c r="AT28" s="150"/>
      <c r="AU28" s="150"/>
      <c r="AV28" s="161" t="str">
        <f t="shared" si="5"/>
        <v/>
      </c>
      <c r="AX28" s="160">
        <v>17</v>
      </c>
      <c r="AY28" s="31"/>
      <c r="AZ28" s="150"/>
      <c r="BA28" s="150"/>
      <c r="BB28" s="150"/>
      <c r="BC28" s="150"/>
      <c r="BD28" s="161" t="str">
        <f t="shared" si="6"/>
        <v/>
      </c>
      <c r="BF28" s="160">
        <v>17</v>
      </c>
      <c r="BG28" s="31"/>
      <c r="BH28" s="150"/>
      <c r="BI28" s="150"/>
      <c r="BJ28" s="150"/>
      <c r="BK28" s="150"/>
      <c r="BL28" s="161" t="str">
        <f t="shared" si="7"/>
        <v/>
      </c>
    </row>
    <row r="29" spans="1:64" x14ac:dyDescent="0.3">
      <c r="A29" s="106" t="s">
        <v>907</v>
      </c>
      <c r="B29" s="180"/>
      <c r="C29" s="180"/>
      <c r="D29" s="181"/>
      <c r="I29" s="160">
        <v>18</v>
      </c>
      <c r="J29" s="31"/>
      <c r="K29" s="150"/>
      <c r="L29" s="150"/>
      <c r="M29" s="150"/>
      <c r="N29" s="150"/>
      <c r="O29" s="161" t="str">
        <f t="shared" si="2"/>
        <v/>
      </c>
      <c r="Q29" s="160">
        <v>18</v>
      </c>
      <c r="R29" s="31"/>
      <c r="S29" s="150"/>
      <c r="T29" s="150"/>
      <c r="U29" s="150"/>
      <c r="V29" s="150"/>
      <c r="W29" s="161" t="str">
        <f t="shared" si="3"/>
        <v/>
      </c>
      <c r="Y29" s="160">
        <v>18</v>
      </c>
      <c r="Z29" s="31"/>
      <c r="AA29" s="150"/>
      <c r="AB29" s="150"/>
      <c r="AC29" s="150"/>
      <c r="AD29" s="150"/>
      <c r="AE29" s="161" t="str">
        <f t="shared" si="9"/>
        <v/>
      </c>
      <c r="AG29" s="160">
        <v>16</v>
      </c>
      <c r="AH29" s="31"/>
      <c r="AI29" s="150"/>
      <c r="AJ29" s="150"/>
      <c r="AK29" s="150"/>
      <c r="AL29" s="150"/>
      <c r="AM29" s="161" t="str">
        <f t="shared" si="8"/>
        <v/>
      </c>
      <c r="AN29" s="189"/>
      <c r="AP29" s="160">
        <v>18</v>
      </c>
      <c r="AQ29" s="31"/>
      <c r="AR29" s="150"/>
      <c r="AS29" s="150"/>
      <c r="AT29" s="150"/>
      <c r="AU29" s="150"/>
      <c r="AV29" s="161" t="str">
        <f t="shared" si="5"/>
        <v/>
      </c>
      <c r="AX29" s="160">
        <v>18</v>
      </c>
      <c r="AY29" s="31"/>
      <c r="AZ29" s="150"/>
      <c r="BA29" s="150"/>
      <c r="BB29" s="150"/>
      <c r="BC29" s="150"/>
      <c r="BD29" s="161" t="str">
        <f t="shared" si="6"/>
        <v/>
      </c>
      <c r="BF29" s="160">
        <v>18</v>
      </c>
      <c r="BG29" s="31"/>
      <c r="BH29" s="150"/>
      <c r="BI29" s="150"/>
      <c r="BJ29" s="150"/>
      <c r="BK29" s="150"/>
      <c r="BL29" s="161" t="str">
        <f t="shared" si="7"/>
        <v/>
      </c>
    </row>
    <row r="30" spans="1:64" x14ac:dyDescent="0.3">
      <c r="A30" s="106" t="s">
        <v>908</v>
      </c>
      <c r="B30" s="180"/>
      <c r="C30" s="180"/>
      <c r="D30" s="181"/>
      <c r="I30" s="160">
        <v>19</v>
      </c>
      <c r="J30" s="31"/>
      <c r="K30" s="150"/>
      <c r="L30" s="150"/>
      <c r="M30" s="150"/>
      <c r="N30" s="150"/>
      <c r="O30" s="161" t="str">
        <f t="shared" si="2"/>
        <v/>
      </c>
      <c r="Q30" s="160">
        <v>19</v>
      </c>
      <c r="R30" s="31"/>
      <c r="S30" s="150"/>
      <c r="T30" s="150"/>
      <c r="U30" s="150"/>
      <c r="V30" s="150"/>
      <c r="W30" s="161" t="str">
        <f t="shared" si="3"/>
        <v/>
      </c>
      <c r="Y30" s="160">
        <v>19</v>
      </c>
      <c r="Z30" s="31"/>
      <c r="AA30" s="150"/>
      <c r="AB30" s="150"/>
      <c r="AC30" s="150"/>
      <c r="AD30" s="150"/>
      <c r="AE30" s="161" t="str">
        <f t="shared" si="9"/>
        <v/>
      </c>
      <c r="AG30" s="160">
        <v>17</v>
      </c>
      <c r="AH30" s="31"/>
      <c r="AI30" s="150"/>
      <c r="AJ30" s="150"/>
      <c r="AK30" s="150"/>
      <c r="AL30" s="150"/>
      <c r="AM30" s="161" t="str">
        <f t="shared" si="8"/>
        <v/>
      </c>
      <c r="AN30" s="189"/>
      <c r="AP30" s="160">
        <v>19</v>
      </c>
      <c r="AQ30" s="31"/>
      <c r="AR30" s="150"/>
      <c r="AS30" s="150"/>
      <c r="AT30" s="150"/>
      <c r="AU30" s="150"/>
      <c r="AV30" s="161" t="str">
        <f t="shared" si="5"/>
        <v/>
      </c>
      <c r="AX30" s="160">
        <v>19</v>
      </c>
      <c r="AY30" s="31"/>
      <c r="AZ30" s="150"/>
      <c r="BA30" s="150"/>
      <c r="BB30" s="150"/>
      <c r="BC30" s="150"/>
      <c r="BD30" s="161" t="str">
        <f t="shared" si="6"/>
        <v/>
      </c>
      <c r="BF30" s="160">
        <v>19</v>
      </c>
      <c r="BG30" s="31"/>
      <c r="BH30" s="150"/>
      <c r="BI30" s="150"/>
      <c r="BJ30" s="150"/>
      <c r="BK30" s="150"/>
      <c r="BL30" s="161" t="str">
        <f t="shared" si="7"/>
        <v/>
      </c>
    </row>
    <row r="31" spans="1:64" x14ac:dyDescent="0.3">
      <c r="A31" s="106" t="s">
        <v>909</v>
      </c>
      <c r="B31" s="180"/>
      <c r="C31" s="180"/>
      <c r="D31" s="181"/>
      <c r="I31" s="160">
        <v>20</v>
      </c>
      <c r="J31" s="31"/>
      <c r="K31" s="150"/>
      <c r="L31" s="150"/>
      <c r="M31" s="150"/>
      <c r="N31" s="150"/>
      <c r="O31" s="161" t="str">
        <f t="shared" si="2"/>
        <v/>
      </c>
      <c r="Q31" s="160">
        <v>20</v>
      </c>
      <c r="R31" s="31"/>
      <c r="S31" s="150"/>
      <c r="T31" s="150"/>
      <c r="U31" s="150"/>
      <c r="V31" s="150"/>
      <c r="W31" s="161" t="str">
        <f t="shared" si="3"/>
        <v/>
      </c>
      <c r="Y31" s="160">
        <v>20</v>
      </c>
      <c r="Z31" s="31"/>
      <c r="AA31" s="150"/>
      <c r="AB31" s="150"/>
      <c r="AC31" s="150"/>
      <c r="AD31" s="150"/>
      <c r="AE31" s="161" t="str">
        <f t="shared" si="9"/>
        <v/>
      </c>
      <c r="AG31" s="160">
        <v>18</v>
      </c>
      <c r="AH31" s="31"/>
      <c r="AI31" s="150"/>
      <c r="AJ31" s="150"/>
      <c r="AK31" s="150"/>
      <c r="AL31" s="150"/>
      <c r="AM31" s="161" t="str">
        <f t="shared" si="8"/>
        <v/>
      </c>
      <c r="AN31" s="189"/>
      <c r="AP31" s="160">
        <v>20</v>
      </c>
      <c r="AQ31" s="31"/>
      <c r="AR31" s="150"/>
      <c r="AS31" s="150"/>
      <c r="AT31" s="150"/>
      <c r="AU31" s="150"/>
      <c r="AV31" s="161" t="str">
        <f t="shared" si="5"/>
        <v/>
      </c>
      <c r="AX31" s="160">
        <v>20</v>
      </c>
      <c r="AY31" s="31"/>
      <c r="AZ31" s="150"/>
      <c r="BA31" s="150"/>
      <c r="BB31" s="150"/>
      <c r="BC31" s="150"/>
      <c r="BD31" s="161" t="str">
        <f t="shared" si="6"/>
        <v/>
      </c>
      <c r="BF31" s="160">
        <v>20</v>
      </c>
      <c r="BG31" s="31"/>
      <c r="BH31" s="150"/>
      <c r="BI31" s="150"/>
      <c r="BJ31" s="150"/>
      <c r="BK31" s="150"/>
      <c r="BL31" s="161" t="str">
        <f t="shared" si="7"/>
        <v/>
      </c>
    </row>
    <row r="32" spans="1:64" x14ac:dyDescent="0.3">
      <c r="A32" s="106" t="s">
        <v>910</v>
      </c>
      <c r="B32" s="180"/>
      <c r="C32" s="180"/>
      <c r="D32" s="181"/>
      <c r="I32" s="160">
        <v>21</v>
      </c>
      <c r="J32" s="31"/>
      <c r="K32" s="150"/>
      <c r="L32" s="150"/>
      <c r="M32" s="150"/>
      <c r="N32" s="150"/>
      <c r="O32" s="161" t="str">
        <f t="shared" si="2"/>
        <v/>
      </c>
      <c r="Q32" s="160">
        <v>21</v>
      </c>
      <c r="R32" s="31"/>
      <c r="S32" s="150"/>
      <c r="T32" s="150"/>
      <c r="U32" s="150"/>
      <c r="V32" s="150"/>
      <c r="W32" s="161" t="str">
        <f t="shared" si="3"/>
        <v/>
      </c>
      <c r="Y32" s="160">
        <v>21</v>
      </c>
      <c r="Z32" s="31"/>
      <c r="AA32" s="150"/>
      <c r="AB32" s="150"/>
      <c r="AC32" s="150"/>
      <c r="AD32" s="150"/>
      <c r="AE32" s="161" t="str">
        <f t="shared" si="9"/>
        <v/>
      </c>
      <c r="AG32" s="160">
        <v>19</v>
      </c>
      <c r="AH32" s="31"/>
      <c r="AI32" s="150"/>
      <c r="AJ32" s="150"/>
      <c r="AK32" s="150"/>
      <c r="AL32" s="150"/>
      <c r="AM32" s="161" t="str">
        <f t="shared" si="8"/>
        <v/>
      </c>
      <c r="AN32" s="189"/>
      <c r="AP32" s="160">
        <v>21</v>
      </c>
      <c r="AQ32" s="31"/>
      <c r="AR32" s="150"/>
      <c r="AS32" s="150"/>
      <c r="AT32" s="150"/>
      <c r="AU32" s="150"/>
      <c r="AV32" s="161" t="str">
        <f t="shared" si="5"/>
        <v/>
      </c>
      <c r="AX32" s="160">
        <v>21</v>
      </c>
      <c r="AY32" s="31"/>
      <c r="AZ32" s="150"/>
      <c r="BA32" s="150"/>
      <c r="BB32" s="150"/>
      <c r="BC32" s="150"/>
      <c r="BD32" s="161" t="str">
        <f t="shared" si="6"/>
        <v/>
      </c>
      <c r="BF32" s="160">
        <v>21</v>
      </c>
      <c r="BG32" s="31"/>
      <c r="BH32" s="150"/>
      <c r="BI32" s="150"/>
      <c r="BJ32" s="150"/>
      <c r="BK32" s="150"/>
      <c r="BL32" s="161" t="str">
        <f t="shared" si="7"/>
        <v/>
      </c>
    </row>
    <row r="33" spans="1:64" x14ac:dyDescent="0.3">
      <c r="A33" s="106" t="s">
        <v>1339</v>
      </c>
      <c r="B33" s="180"/>
      <c r="C33" s="180"/>
      <c r="D33" s="181"/>
      <c r="I33" s="160">
        <v>22</v>
      </c>
      <c r="J33" s="31"/>
      <c r="K33" s="150"/>
      <c r="L33" s="150"/>
      <c r="M33" s="150"/>
      <c r="N33" s="150"/>
      <c r="O33" s="161" t="str">
        <f t="shared" si="2"/>
        <v/>
      </c>
      <c r="Q33" s="160">
        <v>22</v>
      </c>
      <c r="R33" s="31"/>
      <c r="S33" s="150"/>
      <c r="T33" s="150"/>
      <c r="U33" s="150"/>
      <c r="V33" s="150"/>
      <c r="W33" s="161" t="str">
        <f t="shared" si="3"/>
        <v/>
      </c>
      <c r="Y33" s="160">
        <v>22</v>
      </c>
      <c r="Z33" s="31"/>
      <c r="AA33" s="150"/>
      <c r="AB33" s="150"/>
      <c r="AC33" s="150"/>
      <c r="AD33" s="150"/>
      <c r="AE33" s="161" t="str">
        <f t="shared" si="9"/>
        <v/>
      </c>
      <c r="AG33" s="160">
        <v>20</v>
      </c>
      <c r="AH33" s="31"/>
      <c r="AI33" s="150"/>
      <c r="AJ33" s="150"/>
      <c r="AK33" s="150"/>
      <c r="AL33" s="150"/>
      <c r="AM33" s="161" t="str">
        <f t="shared" si="8"/>
        <v/>
      </c>
      <c r="AN33" s="189"/>
      <c r="AP33" s="160">
        <v>22</v>
      </c>
      <c r="AQ33" s="31"/>
      <c r="AR33" s="150"/>
      <c r="AS33" s="150"/>
      <c r="AT33" s="150"/>
      <c r="AU33" s="150"/>
      <c r="AV33" s="161" t="str">
        <f t="shared" si="5"/>
        <v/>
      </c>
      <c r="AX33" s="160">
        <v>22</v>
      </c>
      <c r="AY33" s="31"/>
      <c r="AZ33" s="150"/>
      <c r="BA33" s="150"/>
      <c r="BB33" s="150"/>
      <c r="BC33" s="150"/>
      <c r="BD33" s="161" t="str">
        <f t="shared" si="6"/>
        <v/>
      </c>
      <c r="BF33" s="160">
        <v>22</v>
      </c>
      <c r="BG33" s="31"/>
      <c r="BH33" s="150"/>
      <c r="BI33" s="150"/>
      <c r="BJ33" s="150"/>
      <c r="BK33" s="150"/>
      <c r="BL33" s="161" t="str">
        <f t="shared" si="7"/>
        <v/>
      </c>
    </row>
    <row r="34" spans="1:64" x14ac:dyDescent="0.3">
      <c r="A34" s="106" t="s">
        <v>1345</v>
      </c>
      <c r="B34" s="180">
        <f>BD45</f>
        <v>7.4434992068600991E-2</v>
      </c>
      <c r="C34" s="180">
        <f>BD46</f>
        <v>9.4433221300717657E-2</v>
      </c>
      <c r="D34" s="181"/>
      <c r="I34" s="160">
        <v>23</v>
      </c>
      <c r="J34" s="31"/>
      <c r="K34" s="150"/>
      <c r="L34" s="150"/>
      <c r="M34" s="150"/>
      <c r="N34" s="150"/>
      <c r="O34" s="161" t="str">
        <f t="shared" si="2"/>
        <v/>
      </c>
      <c r="Q34" s="160">
        <v>23</v>
      </c>
      <c r="R34" s="31"/>
      <c r="S34" s="150"/>
      <c r="T34" s="150"/>
      <c r="U34" s="150"/>
      <c r="V34" s="150"/>
      <c r="W34" s="161" t="str">
        <f t="shared" si="3"/>
        <v/>
      </c>
      <c r="Y34" s="160">
        <v>23</v>
      </c>
      <c r="Z34" s="31"/>
      <c r="AA34" s="150"/>
      <c r="AB34" s="150"/>
      <c r="AC34" s="150"/>
      <c r="AD34" s="150"/>
      <c r="AE34" s="161" t="str">
        <f t="shared" si="9"/>
        <v/>
      </c>
      <c r="AG34" s="160">
        <v>21</v>
      </c>
      <c r="AH34" s="31"/>
      <c r="AI34" s="150"/>
      <c r="AJ34" s="150"/>
      <c r="AK34" s="150"/>
      <c r="AL34" s="150"/>
      <c r="AM34" s="161" t="str">
        <f t="shared" si="8"/>
        <v/>
      </c>
      <c r="AN34" s="189"/>
      <c r="AP34" s="160">
        <v>23</v>
      </c>
      <c r="AQ34" s="31"/>
      <c r="AR34" s="150"/>
      <c r="AS34" s="150"/>
      <c r="AT34" s="150"/>
      <c r="AU34" s="150"/>
      <c r="AV34" s="161" t="str">
        <f t="shared" si="5"/>
        <v/>
      </c>
      <c r="AX34" s="160">
        <v>23</v>
      </c>
      <c r="AY34" s="31"/>
      <c r="AZ34" s="150"/>
      <c r="BA34" s="150"/>
      <c r="BB34" s="150"/>
      <c r="BC34" s="150"/>
      <c r="BD34" s="161" t="str">
        <f t="shared" si="6"/>
        <v/>
      </c>
      <c r="BF34" s="160">
        <v>23</v>
      </c>
      <c r="BG34" s="31"/>
      <c r="BH34" s="150"/>
      <c r="BI34" s="150"/>
      <c r="BJ34" s="150"/>
      <c r="BK34" s="150"/>
      <c r="BL34" s="161" t="str">
        <f t="shared" si="7"/>
        <v/>
      </c>
    </row>
    <row r="35" spans="1:64" x14ac:dyDescent="0.3">
      <c r="A35" s="106" t="s">
        <v>911</v>
      </c>
      <c r="B35" s="180">
        <f>BL45</f>
        <v>0.12439221210634392</v>
      </c>
      <c r="C35" s="180">
        <f>BL46</f>
        <v>0.16871469852761048</v>
      </c>
      <c r="D35" s="181"/>
      <c r="I35" s="160">
        <v>24</v>
      </c>
      <c r="J35" s="31"/>
      <c r="K35" s="150"/>
      <c r="L35" s="150"/>
      <c r="M35" s="150"/>
      <c r="N35" s="150"/>
      <c r="O35" s="161" t="str">
        <f t="shared" si="2"/>
        <v/>
      </c>
      <c r="Q35" s="160">
        <v>24</v>
      </c>
      <c r="R35" s="31"/>
      <c r="S35" s="150"/>
      <c r="T35" s="150"/>
      <c r="U35" s="150"/>
      <c r="V35" s="150"/>
      <c r="W35" s="161" t="str">
        <f t="shared" si="3"/>
        <v/>
      </c>
      <c r="Y35" s="160">
        <v>24</v>
      </c>
      <c r="Z35" s="31"/>
      <c r="AA35" s="150"/>
      <c r="AB35" s="150"/>
      <c r="AC35" s="150"/>
      <c r="AD35" s="150"/>
      <c r="AE35" s="161" t="str">
        <f t="shared" si="9"/>
        <v/>
      </c>
      <c r="AG35" s="160">
        <v>22</v>
      </c>
      <c r="AH35" s="31"/>
      <c r="AI35" s="150"/>
      <c r="AJ35" s="150"/>
      <c r="AK35" s="150"/>
      <c r="AL35" s="150"/>
      <c r="AM35" s="161" t="str">
        <f t="shared" si="8"/>
        <v/>
      </c>
      <c r="AN35" s="189"/>
      <c r="AP35" s="160">
        <v>24</v>
      </c>
      <c r="AQ35" s="31"/>
      <c r="AR35" s="150"/>
      <c r="AS35" s="150"/>
      <c r="AT35" s="150"/>
      <c r="AU35" s="150"/>
      <c r="AV35" s="161" t="str">
        <f t="shared" si="5"/>
        <v/>
      </c>
      <c r="AX35" s="160">
        <v>24</v>
      </c>
      <c r="AY35" s="31"/>
      <c r="AZ35" s="150"/>
      <c r="BA35" s="150"/>
      <c r="BB35" s="150"/>
      <c r="BC35" s="150"/>
      <c r="BD35" s="161" t="str">
        <f t="shared" si="6"/>
        <v/>
      </c>
      <c r="BF35" s="160">
        <v>24</v>
      </c>
      <c r="BG35" s="31"/>
      <c r="BH35" s="150"/>
      <c r="BI35" s="150"/>
      <c r="BJ35" s="150"/>
      <c r="BK35" s="150"/>
      <c r="BL35" s="161" t="str">
        <f t="shared" si="7"/>
        <v/>
      </c>
    </row>
    <row r="36" spans="1:64" x14ac:dyDescent="0.3">
      <c r="A36" s="106" t="s">
        <v>912</v>
      </c>
      <c r="B36" s="180"/>
      <c r="C36" s="180"/>
      <c r="D36" s="181"/>
      <c r="I36" s="160">
        <v>25</v>
      </c>
      <c r="J36" s="31"/>
      <c r="K36" s="150"/>
      <c r="L36" s="150"/>
      <c r="M36" s="150"/>
      <c r="N36" s="150"/>
      <c r="O36" s="161" t="str">
        <f t="shared" si="2"/>
        <v/>
      </c>
      <c r="Q36" s="160">
        <v>25</v>
      </c>
      <c r="R36" s="31"/>
      <c r="S36" s="150"/>
      <c r="T36" s="150"/>
      <c r="U36" s="150"/>
      <c r="V36" s="150"/>
      <c r="W36" s="161" t="str">
        <f t="shared" si="3"/>
        <v/>
      </c>
      <c r="Y36" s="160">
        <v>25</v>
      </c>
      <c r="Z36" s="31"/>
      <c r="AA36" s="150"/>
      <c r="AB36" s="150"/>
      <c r="AC36" s="150"/>
      <c r="AD36" s="150"/>
      <c r="AE36" s="161" t="str">
        <f t="shared" si="9"/>
        <v/>
      </c>
      <c r="AG36" s="160">
        <v>23</v>
      </c>
      <c r="AH36" s="31"/>
      <c r="AI36" s="150"/>
      <c r="AJ36" s="150"/>
      <c r="AK36" s="150"/>
      <c r="AL36" s="150"/>
      <c r="AM36" s="161" t="str">
        <f t="shared" si="8"/>
        <v/>
      </c>
      <c r="AN36" s="189"/>
      <c r="AP36" s="160">
        <v>25</v>
      </c>
      <c r="AQ36" s="31"/>
      <c r="AR36" s="150"/>
      <c r="AS36" s="150"/>
      <c r="AT36" s="150"/>
      <c r="AU36" s="150"/>
      <c r="AV36" s="161" t="str">
        <f t="shared" si="5"/>
        <v/>
      </c>
      <c r="AX36" s="160">
        <v>25</v>
      </c>
      <c r="AY36" s="31"/>
      <c r="AZ36" s="150"/>
      <c r="BA36" s="150"/>
      <c r="BB36" s="150"/>
      <c r="BC36" s="150"/>
      <c r="BD36" s="161" t="str">
        <f t="shared" si="6"/>
        <v/>
      </c>
      <c r="BF36" s="160">
        <v>25</v>
      </c>
      <c r="BG36" s="31"/>
      <c r="BH36" s="150"/>
      <c r="BI36" s="150"/>
      <c r="BJ36" s="150"/>
      <c r="BK36" s="150"/>
      <c r="BL36" s="161" t="str">
        <f t="shared" si="7"/>
        <v/>
      </c>
    </row>
    <row r="37" spans="1:64" x14ac:dyDescent="0.3">
      <c r="A37" s="106" t="s">
        <v>913</v>
      </c>
      <c r="B37" s="180"/>
      <c r="C37" s="180"/>
      <c r="D37" s="181"/>
      <c r="I37" s="160">
        <v>26</v>
      </c>
      <c r="J37" s="31"/>
      <c r="K37" s="150"/>
      <c r="L37" s="150"/>
      <c r="M37" s="150"/>
      <c r="N37" s="150"/>
      <c r="O37" s="161" t="str">
        <f t="shared" si="2"/>
        <v/>
      </c>
      <c r="Q37" s="160">
        <v>26</v>
      </c>
      <c r="R37" s="31"/>
      <c r="S37" s="150"/>
      <c r="T37" s="150"/>
      <c r="U37" s="150"/>
      <c r="V37" s="150"/>
      <c r="W37" s="161" t="str">
        <f t="shared" si="3"/>
        <v/>
      </c>
      <c r="Y37" s="160">
        <v>26</v>
      </c>
      <c r="Z37" s="31"/>
      <c r="AA37" s="150"/>
      <c r="AB37" s="150"/>
      <c r="AC37" s="150"/>
      <c r="AD37" s="150"/>
      <c r="AE37" s="161" t="str">
        <f t="shared" si="9"/>
        <v/>
      </c>
      <c r="AG37" s="160">
        <v>24</v>
      </c>
      <c r="AH37" s="31"/>
      <c r="AI37" s="150"/>
      <c r="AJ37" s="150"/>
      <c r="AK37" s="150"/>
      <c r="AL37" s="150"/>
      <c r="AM37" s="161" t="str">
        <f t="shared" si="8"/>
        <v/>
      </c>
      <c r="AN37" s="189"/>
      <c r="AP37" s="160">
        <v>26</v>
      </c>
      <c r="AQ37" s="31"/>
      <c r="AR37" s="150"/>
      <c r="AS37" s="150"/>
      <c r="AT37" s="150"/>
      <c r="AU37" s="150"/>
      <c r="AV37" s="161" t="str">
        <f t="shared" si="5"/>
        <v/>
      </c>
      <c r="AX37" s="160">
        <v>26</v>
      </c>
      <c r="AY37" s="31"/>
      <c r="AZ37" s="150"/>
      <c r="BA37" s="150"/>
      <c r="BB37" s="150"/>
      <c r="BC37" s="150"/>
      <c r="BD37" s="161" t="str">
        <f t="shared" si="6"/>
        <v/>
      </c>
      <c r="BF37" s="160">
        <v>26</v>
      </c>
      <c r="BG37" s="31"/>
      <c r="BH37" s="150"/>
      <c r="BI37" s="150"/>
      <c r="BJ37" s="150"/>
      <c r="BK37" s="150"/>
      <c r="BL37" s="161" t="str">
        <f t="shared" si="7"/>
        <v/>
      </c>
    </row>
    <row r="38" spans="1:64" x14ac:dyDescent="0.3">
      <c r="A38" s="185" t="s">
        <v>1336</v>
      </c>
      <c r="B38" s="186"/>
      <c r="C38" s="186"/>
      <c r="D38" s="187"/>
      <c r="I38" s="160">
        <v>27</v>
      </c>
      <c r="J38" s="31"/>
      <c r="K38" s="150"/>
      <c r="L38" s="150"/>
      <c r="M38" s="150"/>
      <c r="N38" s="150"/>
      <c r="O38" s="161" t="str">
        <f t="shared" si="2"/>
        <v/>
      </c>
      <c r="Q38" s="160">
        <v>27</v>
      </c>
      <c r="R38" s="31"/>
      <c r="S38" s="150"/>
      <c r="T38" s="150"/>
      <c r="U38" s="150"/>
      <c r="V38" s="150"/>
      <c r="W38" s="161" t="str">
        <f t="shared" si="3"/>
        <v/>
      </c>
      <c r="Y38" s="160">
        <v>27</v>
      </c>
      <c r="Z38" s="31"/>
      <c r="AA38" s="150"/>
      <c r="AB38" s="150"/>
      <c r="AC38" s="150"/>
      <c r="AD38" s="150"/>
      <c r="AE38" s="161" t="str">
        <f t="shared" si="9"/>
        <v/>
      </c>
      <c r="AG38" s="160">
        <v>25</v>
      </c>
      <c r="AH38" s="31"/>
      <c r="AI38" s="150"/>
      <c r="AJ38" s="150"/>
      <c r="AK38" s="150"/>
      <c r="AL38" s="150"/>
      <c r="AM38" s="161" t="str">
        <f t="shared" si="8"/>
        <v/>
      </c>
      <c r="AN38" s="189"/>
      <c r="AP38" s="160">
        <v>27</v>
      </c>
      <c r="AQ38" s="31"/>
      <c r="AR38" s="150"/>
      <c r="AS38" s="150"/>
      <c r="AT38" s="150"/>
      <c r="AU38" s="150"/>
      <c r="AV38" s="161" t="str">
        <f t="shared" si="5"/>
        <v/>
      </c>
      <c r="AX38" s="160">
        <v>27</v>
      </c>
      <c r="AY38" s="31"/>
      <c r="AZ38" s="150"/>
      <c r="BA38" s="150"/>
      <c r="BB38" s="150"/>
      <c r="BC38" s="150"/>
      <c r="BD38" s="161" t="str">
        <f t="shared" si="6"/>
        <v/>
      </c>
      <c r="BF38" s="160">
        <v>27</v>
      </c>
      <c r="BG38" s="31"/>
      <c r="BH38" s="150"/>
      <c r="BI38" s="150"/>
      <c r="BJ38" s="150"/>
      <c r="BK38" s="150"/>
      <c r="BL38" s="161" t="str">
        <f t="shared" si="7"/>
        <v/>
      </c>
    </row>
    <row r="39" spans="1:64" x14ac:dyDescent="0.3">
      <c r="A39" s="185" t="s">
        <v>914</v>
      </c>
      <c r="B39" s="186">
        <f>W45</f>
        <v>0.26016649943389397</v>
      </c>
      <c r="C39" s="186">
        <f>W46</f>
        <v>0.34283049807165267</v>
      </c>
      <c r="D39" s="187"/>
      <c r="I39" s="160">
        <v>28</v>
      </c>
      <c r="J39" s="31"/>
      <c r="K39" s="150"/>
      <c r="L39" s="150"/>
      <c r="M39" s="150"/>
      <c r="N39" s="150"/>
      <c r="O39" s="161" t="str">
        <f t="shared" si="2"/>
        <v/>
      </c>
      <c r="Q39" s="160">
        <v>28</v>
      </c>
      <c r="R39" s="31"/>
      <c r="S39" s="150"/>
      <c r="T39" s="150"/>
      <c r="U39" s="150"/>
      <c r="V39" s="150"/>
      <c r="W39" s="161" t="str">
        <f t="shared" si="3"/>
        <v/>
      </c>
      <c r="Y39" s="160">
        <v>28</v>
      </c>
      <c r="Z39" s="31"/>
      <c r="AA39" s="150"/>
      <c r="AB39" s="150"/>
      <c r="AC39" s="150"/>
      <c r="AD39" s="150"/>
      <c r="AE39" s="161" t="str">
        <f t="shared" si="9"/>
        <v/>
      </c>
      <c r="AG39" s="160">
        <v>26</v>
      </c>
      <c r="AH39" s="31"/>
      <c r="AI39" s="150"/>
      <c r="AJ39" s="150"/>
      <c r="AK39" s="150"/>
      <c r="AL39" s="150"/>
      <c r="AM39" s="161" t="str">
        <f t="shared" si="8"/>
        <v/>
      </c>
      <c r="AN39" s="189"/>
      <c r="AP39" s="160">
        <v>28</v>
      </c>
      <c r="AQ39" s="31"/>
      <c r="AR39" s="150"/>
      <c r="AS39" s="150"/>
      <c r="AT39" s="150"/>
      <c r="AU39" s="150"/>
      <c r="AV39" s="161" t="str">
        <f>IF(AND(ISBLANK(AT39),ISBLANK(AU39))=TRUE,"",ABS(AU39-AT39)/AVERAGE(AT39:AU39))</f>
        <v/>
      </c>
      <c r="AX39" s="160">
        <v>28</v>
      </c>
      <c r="AY39" s="31"/>
      <c r="AZ39" s="150"/>
      <c r="BA39" s="150"/>
      <c r="BB39" s="150"/>
      <c r="BC39" s="150"/>
      <c r="BD39" s="161" t="str">
        <f t="shared" si="6"/>
        <v/>
      </c>
      <c r="BF39" s="160">
        <v>28</v>
      </c>
      <c r="BG39" s="31"/>
      <c r="BH39" s="150"/>
      <c r="BI39" s="150"/>
      <c r="BJ39" s="150"/>
      <c r="BK39" s="150"/>
      <c r="BL39" s="161" t="str">
        <f t="shared" si="7"/>
        <v/>
      </c>
    </row>
    <row r="40" spans="1:64" x14ac:dyDescent="0.3">
      <c r="A40" s="189"/>
      <c r="B40" s="189"/>
      <c r="C40" s="189"/>
      <c r="D40" s="189"/>
      <c r="I40" s="160">
        <v>29</v>
      </c>
      <c r="J40" s="31"/>
      <c r="K40" s="150"/>
      <c r="L40" s="150"/>
      <c r="M40" s="150"/>
      <c r="N40" s="150"/>
      <c r="O40" s="161" t="str">
        <f t="shared" si="2"/>
        <v/>
      </c>
      <c r="Q40" s="160">
        <v>29</v>
      </c>
      <c r="R40" s="31"/>
      <c r="S40" s="150"/>
      <c r="T40" s="150"/>
      <c r="U40" s="150"/>
      <c r="V40" s="150"/>
      <c r="W40" s="161" t="str">
        <f t="shared" si="3"/>
        <v/>
      </c>
      <c r="Y40" s="160">
        <v>29</v>
      </c>
      <c r="Z40" s="31"/>
      <c r="AA40" s="150"/>
      <c r="AB40" s="150"/>
      <c r="AC40" s="150"/>
      <c r="AD40" s="150"/>
      <c r="AE40" s="161" t="str">
        <f t="shared" si="9"/>
        <v/>
      </c>
      <c r="AG40" s="160">
        <v>27</v>
      </c>
      <c r="AH40" s="31"/>
      <c r="AI40" s="150"/>
      <c r="AJ40" s="150"/>
      <c r="AK40" s="150"/>
      <c r="AL40" s="150"/>
      <c r="AM40" s="161" t="str">
        <f t="shared" si="8"/>
        <v/>
      </c>
      <c r="AN40" s="189"/>
      <c r="AP40" s="160">
        <v>29</v>
      </c>
      <c r="AQ40" s="31"/>
      <c r="AR40" s="150"/>
      <c r="AS40" s="150"/>
      <c r="AT40" s="150"/>
      <c r="AU40" s="150"/>
      <c r="AV40" s="161" t="str">
        <f t="shared" si="5"/>
        <v/>
      </c>
      <c r="AX40" s="160">
        <v>29</v>
      </c>
      <c r="AY40" s="31"/>
      <c r="AZ40" s="150"/>
      <c r="BA40" s="150"/>
      <c r="BB40" s="150"/>
      <c r="BC40" s="150"/>
      <c r="BD40" s="161" t="str">
        <f t="shared" si="6"/>
        <v/>
      </c>
      <c r="BF40" s="160">
        <v>29</v>
      </c>
      <c r="BG40" s="31"/>
      <c r="BH40" s="150"/>
      <c r="BI40" s="150"/>
      <c r="BJ40" s="150"/>
      <c r="BK40" s="150"/>
      <c r="BL40" s="161" t="str">
        <f t="shared" si="7"/>
        <v/>
      </c>
    </row>
    <row r="41" spans="1:64" ht="17.25" thickBot="1" x14ac:dyDescent="0.35">
      <c r="A41" s="189"/>
      <c r="B41" s="189"/>
      <c r="C41" s="189"/>
      <c r="D41" s="189"/>
      <c r="I41" s="162">
        <v>30</v>
      </c>
      <c r="J41" s="163"/>
      <c r="K41" s="164"/>
      <c r="L41" s="164"/>
      <c r="M41" s="164"/>
      <c r="N41" s="164"/>
      <c r="O41" s="165" t="str">
        <f t="shared" si="2"/>
        <v/>
      </c>
      <c r="Q41" s="162">
        <v>30</v>
      </c>
      <c r="R41" s="163"/>
      <c r="S41" s="164"/>
      <c r="T41" s="164"/>
      <c r="U41" s="164"/>
      <c r="V41" s="164"/>
      <c r="W41" s="165" t="str">
        <f t="shared" si="3"/>
        <v/>
      </c>
      <c r="Y41" s="162">
        <v>30</v>
      </c>
      <c r="Z41" s="163"/>
      <c r="AA41" s="164"/>
      <c r="AB41" s="164"/>
      <c r="AC41" s="164"/>
      <c r="AD41" s="164"/>
      <c r="AE41" s="165" t="str">
        <f t="shared" si="9"/>
        <v/>
      </c>
      <c r="AG41" s="160">
        <v>28</v>
      </c>
      <c r="AH41" s="31"/>
      <c r="AI41" s="150"/>
      <c r="AJ41" s="150"/>
      <c r="AK41" s="150"/>
      <c r="AL41" s="150"/>
      <c r="AM41" s="161" t="str">
        <f t="shared" si="8"/>
        <v/>
      </c>
      <c r="AN41" s="189"/>
      <c r="AP41" s="162">
        <v>30</v>
      </c>
      <c r="AQ41" s="163"/>
      <c r="AR41" s="164"/>
      <c r="AS41" s="164"/>
      <c r="AT41" s="164"/>
      <c r="AU41" s="164"/>
      <c r="AV41" s="165" t="str">
        <f t="shared" si="5"/>
        <v/>
      </c>
      <c r="AX41" s="162">
        <v>30</v>
      </c>
      <c r="AY41" s="163"/>
      <c r="AZ41" s="164"/>
      <c r="BA41" s="164"/>
      <c r="BB41" s="164"/>
      <c r="BC41" s="164"/>
      <c r="BD41" s="165" t="str">
        <f t="shared" si="6"/>
        <v/>
      </c>
      <c r="BF41" s="162">
        <v>30</v>
      </c>
      <c r="BG41" s="163"/>
      <c r="BH41" s="164"/>
      <c r="BI41" s="164"/>
      <c r="BJ41" s="164"/>
      <c r="BK41" s="164"/>
      <c r="BL41" s="165" t="str">
        <f t="shared" si="7"/>
        <v/>
      </c>
    </row>
    <row r="42" spans="1:64" x14ac:dyDescent="0.3">
      <c r="A42" s="189"/>
      <c r="B42" s="189"/>
      <c r="C42" s="189"/>
      <c r="D42" s="189"/>
      <c r="I42" s="147"/>
      <c r="J42" s="147"/>
      <c r="K42" s="147"/>
      <c r="L42" s="147"/>
      <c r="M42" s="147"/>
      <c r="N42" s="166" t="s">
        <v>270</v>
      </c>
      <c r="O42" s="167">
        <f>AVERAGE(O12:O41)</f>
        <v>6.7941783068828809E-2</v>
      </c>
      <c r="Q42" s="147"/>
      <c r="R42" s="147"/>
      <c r="S42" s="147"/>
      <c r="T42" s="147"/>
      <c r="U42" s="147"/>
      <c r="V42" s="166" t="s">
        <v>270</v>
      </c>
      <c r="W42" s="167">
        <f>AVERAGE(W12:W41)</f>
        <v>9.4838502158376622E-2</v>
      </c>
      <c r="Y42" s="147"/>
      <c r="Z42" s="147"/>
      <c r="AA42" s="147"/>
      <c r="AB42" s="147"/>
      <c r="AC42" s="147"/>
      <c r="AD42" s="166" t="s">
        <v>270</v>
      </c>
      <c r="AE42" s="167">
        <f>AVERAGE(AE12:AE41)</f>
        <v>1.9776658074530429E-2</v>
      </c>
      <c r="AG42" s="160">
        <v>29</v>
      </c>
      <c r="AH42" s="31"/>
      <c r="AI42" s="150"/>
      <c r="AJ42" s="150"/>
      <c r="AK42" s="150"/>
      <c r="AL42" s="150"/>
      <c r="AM42" s="161" t="str">
        <f t="shared" si="8"/>
        <v/>
      </c>
      <c r="AN42" s="189"/>
      <c r="AP42" s="147"/>
      <c r="AQ42" s="147"/>
      <c r="AR42" s="147"/>
      <c r="AS42" s="147"/>
      <c r="AT42" s="147"/>
      <c r="AU42" s="166" t="s">
        <v>270</v>
      </c>
      <c r="AV42" s="167">
        <f>AVERAGE(AV12:AV41)</f>
        <v>9.8517344896606088E-2</v>
      </c>
      <c r="AX42" s="147"/>
      <c r="AY42" s="147"/>
      <c r="AZ42" s="147"/>
      <c r="BA42" s="147"/>
      <c r="BB42" s="147"/>
      <c r="BC42" s="166" t="s">
        <v>270</v>
      </c>
      <c r="BD42" s="167">
        <f>AVERAGE(BD12:BD41)</f>
        <v>3.4438533604367667E-2</v>
      </c>
      <c r="BF42" s="147"/>
      <c r="BG42" s="147"/>
      <c r="BH42" s="147"/>
      <c r="BI42" s="147"/>
      <c r="BJ42" s="147"/>
      <c r="BK42" s="166" t="s">
        <v>270</v>
      </c>
      <c r="BL42" s="167">
        <f>AVERAGE(BL12:BL41)</f>
        <v>3.5747239263810793E-2</v>
      </c>
    </row>
    <row r="43" spans="1:64" ht="17.25" thickBot="1" x14ac:dyDescent="0.35">
      <c r="A43" s="189"/>
      <c r="B43" s="189"/>
      <c r="C43" s="189"/>
      <c r="D43" s="189"/>
      <c r="I43" s="147"/>
      <c r="J43" s="147"/>
      <c r="K43" s="147"/>
      <c r="L43" s="147"/>
      <c r="M43" s="147"/>
      <c r="N43" s="168" t="s">
        <v>1277</v>
      </c>
      <c r="O43" s="169">
        <f>_xlfn.STDEV.S(O12:O41)</f>
        <v>5.4739526251035349E-2</v>
      </c>
      <c r="Q43" s="147"/>
      <c r="R43" s="147"/>
      <c r="S43" s="147"/>
      <c r="T43" s="147"/>
      <c r="U43" s="147"/>
      <c r="V43" s="168" t="s">
        <v>1277</v>
      </c>
      <c r="W43" s="169">
        <f>_xlfn.STDEV.S(W12:W41)</f>
        <v>8.2663998637758682E-2</v>
      </c>
      <c r="Y43" s="147"/>
      <c r="Z43" s="147"/>
      <c r="AA43" s="147"/>
      <c r="AB43" s="147"/>
      <c r="AC43" s="147"/>
      <c r="AD43" s="168" t="s">
        <v>1277</v>
      </c>
      <c r="AE43" s="169">
        <f>_xlfn.STDEV.S(AE12:AE41)</f>
        <v>1.0327500449456826E-2</v>
      </c>
      <c r="AG43" s="162">
        <v>30</v>
      </c>
      <c r="AH43" s="163"/>
      <c r="AI43" s="164"/>
      <c r="AJ43" s="164"/>
      <c r="AK43" s="164"/>
      <c r="AL43" s="164"/>
      <c r="AM43" s="165" t="str">
        <f t="shared" si="8"/>
        <v/>
      </c>
      <c r="AN43" s="189"/>
      <c r="AP43" s="147"/>
      <c r="AQ43" s="147"/>
      <c r="AR43" s="147"/>
      <c r="AS43" s="147"/>
      <c r="AT43" s="147"/>
      <c r="AU43" s="168" t="s">
        <v>1277</v>
      </c>
      <c r="AV43" s="169">
        <f>_xlfn.STDEV.S(AV12:AV41)</f>
        <v>7.5048416969803411E-2</v>
      </c>
      <c r="AX43" s="147"/>
      <c r="AY43" s="147"/>
      <c r="AZ43" s="147"/>
      <c r="BA43" s="147"/>
      <c r="BB43" s="147"/>
      <c r="BC43" s="168" t="s">
        <v>1277</v>
      </c>
      <c r="BD43" s="169">
        <f>_xlfn.STDEV.S(BD12:BD41)</f>
        <v>1.9998229232116665E-2</v>
      </c>
      <c r="BF43" s="147"/>
      <c r="BG43" s="147"/>
      <c r="BH43" s="147"/>
      <c r="BI43" s="147"/>
      <c r="BJ43" s="147"/>
      <c r="BK43" s="168" t="s">
        <v>1277</v>
      </c>
      <c r="BL43" s="169">
        <f>_xlfn.STDEV.S(BL12:BL41)</f>
        <v>4.4322486421266565E-2</v>
      </c>
    </row>
    <row r="44" spans="1:64" x14ac:dyDescent="0.3">
      <c r="A44" s="190"/>
      <c r="B44" s="190"/>
      <c r="C44" s="190"/>
      <c r="D44" s="190"/>
      <c r="I44" s="147"/>
      <c r="J44" s="147"/>
      <c r="K44" s="147"/>
      <c r="L44" s="147"/>
      <c r="M44" s="147"/>
      <c r="N44" s="168" t="s">
        <v>1278</v>
      </c>
      <c r="O44" s="170">
        <f>O43/O42</f>
        <v>0.80568280340215914</v>
      </c>
      <c r="Q44" s="147"/>
      <c r="R44" s="147"/>
      <c r="S44" s="147"/>
      <c r="T44" s="147"/>
      <c r="U44" s="147"/>
      <c r="V44" s="168" t="s">
        <v>1278</v>
      </c>
      <c r="W44" s="170">
        <f>W43/W42</f>
        <v>0.87162910375485481</v>
      </c>
      <c r="Y44" s="147"/>
      <c r="Z44" s="147"/>
      <c r="AA44" s="147"/>
      <c r="AB44" s="147"/>
      <c r="AC44" s="147"/>
      <c r="AD44" s="168" t="s">
        <v>1278</v>
      </c>
      <c r="AE44" s="170">
        <f>AE43/AE42</f>
        <v>0.52220655332850208</v>
      </c>
      <c r="AG44" s="147"/>
      <c r="AH44" s="147"/>
      <c r="AI44" s="147"/>
      <c r="AJ44" s="147"/>
      <c r="AK44" s="147"/>
      <c r="AL44" s="166" t="s">
        <v>270</v>
      </c>
      <c r="AM44" s="167">
        <f>AVERAGE(AM14:AM43)</f>
        <v>2.0744356314826105E-2</v>
      </c>
      <c r="AN44" s="190"/>
      <c r="AP44" s="147"/>
      <c r="AQ44" s="147"/>
      <c r="AR44" s="147"/>
      <c r="AS44" s="147"/>
      <c r="AT44" s="147"/>
      <c r="AU44" s="168" t="s">
        <v>1278</v>
      </c>
      <c r="AV44" s="170">
        <f>AV43/AV42</f>
        <v>0.76177872077822129</v>
      </c>
      <c r="AX44" s="147"/>
      <c r="AY44" s="147"/>
      <c r="AZ44" s="147"/>
      <c r="BA44" s="147"/>
      <c r="BB44" s="147"/>
      <c r="BC44" s="168" t="s">
        <v>1278</v>
      </c>
      <c r="BD44" s="170">
        <f>BD43/BD42</f>
        <v>0.5806934018114055</v>
      </c>
      <c r="BF44" s="147"/>
      <c r="BG44" s="147"/>
      <c r="BH44" s="147"/>
      <c r="BI44" s="147"/>
      <c r="BJ44" s="147"/>
      <c r="BK44" s="168" t="s">
        <v>1278</v>
      </c>
      <c r="BL44" s="170">
        <f>BL43/BL42</f>
        <v>1.2398855781329396</v>
      </c>
    </row>
    <row r="45" spans="1:64" x14ac:dyDescent="0.3">
      <c r="A45" s="148"/>
      <c r="B45" s="148"/>
      <c r="C45" s="148"/>
      <c r="D45" s="148"/>
      <c r="I45" s="147"/>
      <c r="J45" s="147"/>
      <c r="K45" s="147"/>
      <c r="L45" s="147"/>
      <c r="M45" s="147"/>
      <c r="N45" s="168" t="s">
        <v>1279</v>
      </c>
      <c r="O45" s="171">
        <f>O42+2*O43</f>
        <v>0.17742083557089949</v>
      </c>
      <c r="Q45" s="147"/>
      <c r="R45" s="147"/>
      <c r="S45" s="147"/>
      <c r="T45" s="147"/>
      <c r="U45" s="147"/>
      <c r="V45" s="168" t="s">
        <v>1279</v>
      </c>
      <c r="W45" s="171">
        <f>W42+2*W43</f>
        <v>0.26016649943389397</v>
      </c>
      <c r="Y45" s="147"/>
      <c r="Z45" s="147"/>
      <c r="AA45" s="147"/>
      <c r="AB45" s="147"/>
      <c r="AC45" s="147"/>
      <c r="AD45" s="168" t="s">
        <v>1279</v>
      </c>
      <c r="AE45" s="171">
        <f>AE42+2*AE43</f>
        <v>4.0431658973444085E-2</v>
      </c>
      <c r="AG45" s="147"/>
      <c r="AH45" s="147"/>
      <c r="AI45" s="147"/>
      <c r="AJ45" s="147"/>
      <c r="AK45" s="147"/>
      <c r="AL45" s="168" t="s">
        <v>1277</v>
      </c>
      <c r="AM45" s="169" t="e">
        <f>_xlfn.STDEV.S(AM14:AM43)</f>
        <v>#DIV/0!</v>
      </c>
      <c r="AN45" s="148"/>
      <c r="AP45" s="147"/>
      <c r="AQ45" s="147"/>
      <c r="AR45" s="147"/>
      <c r="AS45" s="147"/>
      <c r="AT45" s="147"/>
      <c r="AU45" s="168" t="s">
        <v>1279</v>
      </c>
      <c r="AV45" s="171">
        <f>AV42+2*AV43</f>
        <v>0.2486141788362129</v>
      </c>
      <c r="AX45" s="147"/>
      <c r="AY45" s="147"/>
      <c r="AZ45" s="147"/>
      <c r="BA45" s="147"/>
      <c r="BB45" s="147"/>
      <c r="BC45" s="168" t="s">
        <v>1279</v>
      </c>
      <c r="BD45" s="171">
        <f>BD42+2*BD43</f>
        <v>7.4434992068600991E-2</v>
      </c>
      <c r="BF45" s="147"/>
      <c r="BG45" s="147"/>
      <c r="BH45" s="147"/>
      <c r="BI45" s="147"/>
      <c r="BJ45" s="147"/>
      <c r="BK45" s="168" t="s">
        <v>1279</v>
      </c>
      <c r="BL45" s="171">
        <f>BL42+2*BL43</f>
        <v>0.12439221210634392</v>
      </c>
    </row>
    <row r="46" spans="1:64" ht="17.25" thickBot="1" x14ac:dyDescent="0.35">
      <c r="A46" s="191"/>
      <c r="B46" s="191"/>
      <c r="C46" s="191"/>
      <c r="D46" s="191"/>
      <c r="I46" s="147"/>
      <c r="J46" s="147"/>
      <c r="K46" s="147"/>
      <c r="L46" s="147"/>
      <c r="M46" s="147"/>
      <c r="N46" s="172" t="s">
        <v>1280</v>
      </c>
      <c r="O46" s="173">
        <f>O42+3*O43</f>
        <v>0.23216036182193486</v>
      </c>
      <c r="Q46" s="147"/>
      <c r="R46" s="147"/>
      <c r="S46" s="147"/>
      <c r="T46" s="147"/>
      <c r="U46" s="147"/>
      <c r="V46" s="172" t="s">
        <v>1280</v>
      </c>
      <c r="W46" s="173">
        <f>W42+3*W43</f>
        <v>0.34283049807165267</v>
      </c>
      <c r="Y46" s="147"/>
      <c r="Z46" s="147"/>
      <c r="AA46" s="147"/>
      <c r="AB46" s="147"/>
      <c r="AC46" s="147"/>
      <c r="AD46" s="172" t="s">
        <v>1280</v>
      </c>
      <c r="AE46" s="173">
        <f>AE42+3*AE43</f>
        <v>5.0759159422900907E-2</v>
      </c>
      <c r="AG46" s="147"/>
      <c r="AH46" s="147"/>
      <c r="AI46" s="147"/>
      <c r="AJ46" s="147"/>
      <c r="AK46" s="147"/>
      <c r="AL46" s="168" t="s">
        <v>1278</v>
      </c>
      <c r="AM46" s="170" t="e">
        <f>AM45/AM44</f>
        <v>#DIV/0!</v>
      </c>
      <c r="AN46" s="191"/>
      <c r="AP46" s="147"/>
      <c r="AQ46" s="147"/>
      <c r="AR46" s="147"/>
      <c r="AS46" s="147"/>
      <c r="AT46" s="147"/>
      <c r="AU46" s="172" t="s">
        <v>1280</v>
      </c>
      <c r="AV46" s="173">
        <f>AV42+3*AV43</f>
        <v>0.32366259580601631</v>
      </c>
      <c r="AX46" s="147"/>
      <c r="AY46" s="147"/>
      <c r="AZ46" s="147"/>
      <c r="BA46" s="147"/>
      <c r="BB46" s="147"/>
      <c r="BC46" s="172" t="s">
        <v>1280</v>
      </c>
      <c r="BD46" s="173">
        <f>BD42+3*BD43</f>
        <v>9.4433221300717657E-2</v>
      </c>
      <c r="BF46" s="147"/>
      <c r="BG46" s="147"/>
      <c r="BH46" s="147"/>
      <c r="BI46" s="147"/>
      <c r="BJ46" s="147"/>
      <c r="BK46" s="172" t="s">
        <v>1280</v>
      </c>
      <c r="BL46" s="173">
        <f>BL42+3*BL43</f>
        <v>0.16871469852761048</v>
      </c>
    </row>
    <row r="47" spans="1:64" x14ac:dyDescent="0.3">
      <c r="A47" s="190"/>
      <c r="B47" s="190"/>
      <c r="C47" s="190"/>
      <c r="D47" s="190"/>
      <c r="AG47" s="147"/>
      <c r="AH47" s="147"/>
      <c r="AI47" s="147"/>
      <c r="AJ47" s="147"/>
      <c r="AK47" s="147"/>
      <c r="AL47" s="168" t="s">
        <v>1279</v>
      </c>
      <c r="AM47" s="171" t="e">
        <f>AM44+2*AM45</f>
        <v>#DIV/0!</v>
      </c>
      <c r="AN47" s="190"/>
    </row>
    <row r="48" spans="1:64" ht="17.25" thickBot="1" x14ac:dyDescent="0.35">
      <c r="A48" s="190"/>
      <c r="B48" s="190"/>
      <c r="C48" s="190"/>
      <c r="D48" s="190"/>
      <c r="AG48" s="147"/>
      <c r="AH48" s="147"/>
      <c r="AI48" s="147"/>
      <c r="AJ48" s="147"/>
      <c r="AK48" s="147"/>
      <c r="AL48" s="172" t="s">
        <v>1280</v>
      </c>
      <c r="AM48" s="173" t="e">
        <f>AM44+3*AM45</f>
        <v>#DIV/0!</v>
      </c>
      <c r="AN48" s="190"/>
    </row>
  </sheetData>
  <mergeCells count="5">
    <mergeCell ref="A1:B3"/>
    <mergeCell ref="C1:F2"/>
    <mergeCell ref="C3:F3"/>
    <mergeCell ref="A4:H4"/>
    <mergeCell ref="A5:H5"/>
  </mergeCells>
  <pageMargins left="0.7" right="0.7" top="0.75" bottom="0.75" header="0.3" footer="0.3"/>
  <drawing r:id="rId1"/>
  <tableParts count="1">
    <tablePart r:id="rId2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DB8588-692C-455B-B380-180983323666}">
  <dimension ref="A1:A2"/>
  <sheetViews>
    <sheetView workbookViewId="0">
      <selection activeCell="A2" sqref="A2"/>
    </sheetView>
  </sheetViews>
  <sheetFormatPr baseColWidth="10" defaultRowHeight="16.5" x14ac:dyDescent="0.3"/>
  <sheetData>
    <row r="1" spans="1:1" x14ac:dyDescent="0.3">
      <c r="A1" t="s">
        <v>1330</v>
      </c>
    </row>
    <row r="2" spans="1:1" x14ac:dyDescent="0.3">
      <c r="A2" t="s">
        <v>1331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3720FD-5DA4-4D47-B79E-4ABE657BEEFD}">
  <dimension ref="A1:O227"/>
  <sheetViews>
    <sheetView tabSelected="1" topLeftCell="A7" workbookViewId="0">
      <selection activeCell="F14" sqref="F14"/>
    </sheetView>
  </sheetViews>
  <sheetFormatPr baseColWidth="10" defaultColWidth="14.375" defaultRowHeight="15" customHeight="1" x14ac:dyDescent="0.2"/>
  <cols>
    <col min="1" max="1" width="9.75" style="426" customWidth="1"/>
    <col min="2" max="2" width="12.875" style="426" customWidth="1"/>
    <col min="3" max="3" width="20" style="426" customWidth="1"/>
    <col min="4" max="4" width="23.25" style="426" customWidth="1"/>
    <col min="5" max="5" width="15.25" style="426" customWidth="1"/>
    <col min="6" max="6" width="21.625" style="426" customWidth="1"/>
    <col min="7" max="7" width="13.25" style="426" customWidth="1"/>
    <col min="8" max="15" width="10.625" style="426" customWidth="1"/>
    <col min="16" max="16384" width="14.375" style="426"/>
  </cols>
  <sheetData>
    <row r="1" spans="1:8" ht="15" customHeight="1" x14ac:dyDescent="0.25">
      <c r="A1" s="419"/>
      <c r="B1" s="420"/>
      <c r="C1" s="421" t="s">
        <v>1374</v>
      </c>
      <c r="D1" s="422"/>
      <c r="E1" s="420"/>
      <c r="F1" s="423" t="s">
        <v>1375</v>
      </c>
      <c r="G1" s="424"/>
      <c r="H1" s="425"/>
    </row>
    <row r="2" spans="1:8" x14ac:dyDescent="0.25">
      <c r="A2" s="427"/>
      <c r="B2" s="428"/>
      <c r="C2" s="429"/>
      <c r="D2" s="430"/>
      <c r="E2" s="431"/>
      <c r="F2" s="423" t="s">
        <v>1376</v>
      </c>
      <c r="G2" s="424"/>
      <c r="H2" s="425"/>
    </row>
    <row r="3" spans="1:8" ht="15" customHeight="1" x14ac:dyDescent="0.25">
      <c r="A3" s="429"/>
      <c r="B3" s="431"/>
      <c r="C3" s="432" t="s">
        <v>1283</v>
      </c>
      <c r="D3" s="433"/>
      <c r="E3" s="424"/>
      <c r="F3" s="434" t="s">
        <v>1377</v>
      </c>
      <c r="G3" s="424"/>
      <c r="H3" s="425"/>
    </row>
    <row r="4" spans="1:8" ht="14.25" x14ac:dyDescent="0.2">
      <c r="A4" s="425"/>
      <c r="B4" s="425"/>
      <c r="C4" s="425"/>
      <c r="D4" s="425"/>
      <c r="E4" s="425"/>
      <c r="F4" s="425"/>
      <c r="G4" s="425"/>
      <c r="H4" s="425"/>
    </row>
    <row r="5" spans="1:8" ht="14.25" x14ac:dyDescent="0.2">
      <c r="A5" s="425"/>
      <c r="B5" s="425"/>
      <c r="C5" s="425"/>
      <c r="D5" s="425"/>
      <c r="E5" s="425"/>
      <c r="F5" s="425"/>
      <c r="G5" s="425"/>
      <c r="H5" s="425"/>
    </row>
    <row r="6" spans="1:8" ht="20.25" x14ac:dyDescent="0.2">
      <c r="A6" s="435" t="s">
        <v>1349</v>
      </c>
      <c r="B6" s="436"/>
      <c r="C6" s="436"/>
      <c r="D6" s="436"/>
      <c r="E6" s="436"/>
      <c r="F6" s="436"/>
      <c r="G6" s="436"/>
      <c r="H6" s="425"/>
    </row>
    <row r="7" spans="1:8" ht="18" x14ac:dyDescent="0.2">
      <c r="A7" s="437" t="s">
        <v>1350</v>
      </c>
      <c r="B7" s="436"/>
      <c r="C7" s="436"/>
      <c r="D7" s="436"/>
      <c r="E7" s="436"/>
      <c r="F7" s="436"/>
      <c r="G7" s="436"/>
      <c r="H7" s="425"/>
    </row>
    <row r="8" spans="1:8" ht="15.75" x14ac:dyDescent="0.2">
      <c r="A8" s="438" t="s">
        <v>1378</v>
      </c>
      <c r="B8" s="436"/>
      <c r="C8" s="436"/>
      <c r="D8" s="436"/>
      <c r="E8" s="436"/>
      <c r="F8" s="436"/>
      <c r="G8" s="436"/>
      <c r="H8" s="425"/>
    </row>
    <row r="9" spans="1:8" ht="18" x14ac:dyDescent="0.2">
      <c r="A9" s="439"/>
      <c r="B9" s="425"/>
      <c r="C9" s="425"/>
      <c r="D9" s="425"/>
      <c r="E9" s="425"/>
      <c r="F9" s="425"/>
      <c r="G9" s="425"/>
      <c r="H9" s="425"/>
    </row>
    <row r="10" spans="1:8" ht="15.75" x14ac:dyDescent="0.2">
      <c r="A10" s="438" t="s">
        <v>1351</v>
      </c>
      <c r="B10" s="436"/>
      <c r="C10" s="436"/>
      <c r="D10" s="436"/>
      <c r="E10" s="436"/>
      <c r="F10" s="436"/>
      <c r="G10" s="436"/>
      <c r="H10" s="425"/>
    </row>
    <row r="11" spans="1:8" ht="14.25" x14ac:dyDescent="0.2">
      <c r="A11" s="425"/>
      <c r="B11" s="425"/>
      <c r="C11" s="425"/>
      <c r="D11" s="425"/>
      <c r="E11" s="425"/>
      <c r="F11" s="425"/>
      <c r="G11" s="425"/>
      <c r="H11" s="425"/>
    </row>
    <row r="12" spans="1:8" ht="14.25" x14ac:dyDescent="0.2">
      <c r="A12" s="425"/>
      <c r="B12" s="425"/>
      <c r="C12" s="425"/>
      <c r="D12" s="425"/>
      <c r="E12" s="425"/>
      <c r="F12" s="425"/>
      <c r="G12" s="425"/>
      <c r="H12" s="425"/>
    </row>
    <row r="13" spans="1:8" ht="14.25" x14ac:dyDescent="0.2">
      <c r="A13" s="440"/>
      <c r="B13" s="441" t="s">
        <v>1352</v>
      </c>
      <c r="C13" s="424"/>
      <c r="D13" s="441" t="s">
        <v>1353</v>
      </c>
      <c r="E13" s="424"/>
      <c r="F13" s="442" t="s">
        <v>1354</v>
      </c>
      <c r="G13" s="442" t="s">
        <v>221</v>
      </c>
      <c r="H13" s="425"/>
    </row>
    <row r="14" spans="1:8" ht="39.75" customHeight="1" x14ac:dyDescent="0.3">
      <c r="A14" s="440" t="s">
        <v>1355</v>
      </c>
      <c r="B14" s="443" t="s">
        <v>1356</v>
      </c>
      <c r="C14" s="424"/>
      <c r="D14" s="443" t="s">
        <v>1357</v>
      </c>
      <c r="E14" s="424"/>
      <c r="F14"/>
      <c r="G14" s="444">
        <v>43922</v>
      </c>
      <c r="H14" s="425"/>
    </row>
    <row r="15" spans="1:8" ht="42" customHeight="1" x14ac:dyDescent="0.3">
      <c r="A15" s="440" t="s">
        <v>1358</v>
      </c>
      <c r="B15" s="443" t="s">
        <v>1359</v>
      </c>
      <c r="C15" s="424"/>
      <c r="D15" s="443" t="s">
        <v>1360</v>
      </c>
      <c r="E15" s="424"/>
      <c r="F15"/>
      <c r="G15" s="444">
        <v>43922</v>
      </c>
      <c r="H15" s="425"/>
    </row>
    <row r="16" spans="1:8" ht="45" customHeight="1" x14ac:dyDescent="0.2">
      <c r="A16" s="440" t="s">
        <v>1361</v>
      </c>
      <c r="B16" s="443" t="s">
        <v>1359</v>
      </c>
      <c r="C16" s="424"/>
      <c r="D16" s="443" t="s">
        <v>1360</v>
      </c>
      <c r="E16" s="424"/>
      <c r="F16" s="442"/>
      <c r="G16" s="444">
        <v>43922</v>
      </c>
      <c r="H16" s="425"/>
    </row>
    <row r="17" spans="1:15" ht="15.75" customHeight="1" x14ac:dyDescent="0.2">
      <c r="A17" s="445" t="s">
        <v>1362</v>
      </c>
      <c r="B17" s="433"/>
      <c r="C17" s="424"/>
      <c r="D17" s="446" t="s">
        <v>1363</v>
      </c>
      <c r="E17" s="433"/>
      <c r="F17" s="433"/>
      <c r="G17" s="424"/>
      <c r="H17" s="447"/>
      <c r="I17" s="447"/>
      <c r="J17" s="447"/>
      <c r="K17" s="447"/>
      <c r="L17" s="447"/>
      <c r="M17" s="447"/>
      <c r="N17" s="447"/>
      <c r="O17" s="447"/>
    </row>
    <row r="18" spans="1:15" ht="14.25" x14ac:dyDescent="0.2">
      <c r="A18" s="425"/>
      <c r="B18" s="425"/>
      <c r="C18" s="425"/>
      <c r="D18" s="425"/>
      <c r="E18" s="425"/>
      <c r="F18" s="425"/>
      <c r="G18" s="425"/>
      <c r="H18" s="425"/>
    </row>
    <row r="19" spans="1:15" ht="14.25" x14ac:dyDescent="0.2">
      <c r="A19" s="425"/>
      <c r="B19" s="425"/>
      <c r="C19" s="425"/>
      <c r="D19" s="425"/>
      <c r="E19" s="425"/>
      <c r="F19" s="425"/>
      <c r="G19" s="425"/>
      <c r="H19" s="425"/>
    </row>
    <row r="20" spans="1:15" ht="15.75" x14ac:dyDescent="0.2">
      <c r="A20" s="438" t="s">
        <v>1364</v>
      </c>
      <c r="B20" s="436"/>
      <c r="C20" s="436"/>
      <c r="D20" s="436"/>
      <c r="E20" s="436"/>
      <c r="F20" s="436"/>
      <c r="G20" s="436"/>
      <c r="H20" s="425"/>
    </row>
    <row r="21" spans="1:15" ht="15.75" customHeight="1" x14ac:dyDescent="0.2">
      <c r="A21" s="425"/>
      <c r="B21" s="425"/>
      <c r="C21" s="425"/>
      <c r="D21" s="425"/>
      <c r="E21" s="425"/>
      <c r="F21" s="425"/>
      <c r="G21" s="425"/>
      <c r="H21" s="425"/>
    </row>
    <row r="22" spans="1:15" ht="15.75" customHeight="1" x14ac:dyDescent="0.2">
      <c r="A22" s="448" t="s">
        <v>1365</v>
      </c>
      <c r="B22" s="448" t="s">
        <v>1366</v>
      </c>
      <c r="C22" s="448" t="s">
        <v>1367</v>
      </c>
      <c r="D22" s="448" t="s">
        <v>1368</v>
      </c>
      <c r="E22" s="448" t="s">
        <v>80</v>
      </c>
      <c r="F22" s="448" t="s">
        <v>16</v>
      </c>
      <c r="G22" s="448" t="s">
        <v>1369</v>
      </c>
      <c r="H22" s="425"/>
    </row>
    <row r="23" spans="1:15" ht="15.75" customHeight="1" x14ac:dyDescent="0.2">
      <c r="A23" s="449"/>
      <c r="B23" s="450"/>
      <c r="C23" s="449"/>
      <c r="D23" s="449"/>
      <c r="E23" s="449"/>
      <c r="F23" s="449"/>
      <c r="G23" s="449"/>
      <c r="H23" s="425"/>
    </row>
    <row r="24" spans="1:15" ht="15.75" customHeight="1" x14ac:dyDescent="0.2">
      <c r="A24" s="451" t="s">
        <v>1294</v>
      </c>
      <c r="B24" s="453">
        <f>G16</f>
        <v>43922</v>
      </c>
      <c r="C24" s="451">
        <v>1</v>
      </c>
      <c r="D24" s="452" t="s">
        <v>1379</v>
      </c>
      <c r="E24" s="451" t="s">
        <v>1371</v>
      </c>
      <c r="F24" s="451" t="s">
        <v>1370</v>
      </c>
      <c r="G24" s="452" t="s">
        <v>1370</v>
      </c>
      <c r="H24" s="425"/>
    </row>
    <row r="25" spans="1:15" ht="15.75" customHeight="1" x14ac:dyDescent="0.2">
      <c r="A25" s="454"/>
      <c r="B25" s="454"/>
      <c r="C25" s="454"/>
      <c r="D25" s="455"/>
      <c r="E25" s="454"/>
      <c r="F25" s="454"/>
      <c r="G25" s="454"/>
      <c r="H25" s="425"/>
    </row>
    <row r="26" spans="1:15" ht="15.75" customHeight="1" x14ac:dyDescent="0.2">
      <c r="A26" s="456" t="s">
        <v>1372</v>
      </c>
      <c r="B26" s="436"/>
      <c r="C26" s="436"/>
      <c r="D26" s="436"/>
      <c r="E26" s="436"/>
      <c r="F26" s="457" t="s">
        <v>1373</v>
      </c>
      <c r="G26" s="436"/>
      <c r="H26" s="425"/>
    </row>
    <row r="27" spans="1:15" ht="15.75" customHeight="1" x14ac:dyDescent="0.2">
      <c r="H27" s="425"/>
    </row>
    <row r="28" spans="1:15" ht="15.75" customHeight="1" x14ac:dyDescent="0.2"/>
    <row r="29" spans="1:15" ht="15.75" customHeight="1" x14ac:dyDescent="0.2"/>
    <row r="30" spans="1:15" ht="15.75" customHeight="1" x14ac:dyDescent="0.2"/>
    <row r="31" spans="1:15" ht="15.75" customHeight="1" x14ac:dyDescent="0.2"/>
    <row r="32" spans="1:15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</sheetData>
  <sheetProtection algorithmName="SHA-512" hashValue="vC11cq0pC8B3heXwQ27zqAYR4nCs/f26HXbhTm4QrkbYzyRylHCec/H89/w1OOz/QhpEcsF8Q42udVbi5H8h9g==" saltValue="MrbGSDIbrLbuy4L3ptTa5Q==" spinCount="100000" sheet="1" objects="1" scenarios="1" selectLockedCells="1" selectUnlockedCells="1"/>
  <mergeCells count="30">
    <mergeCell ref="A26:E26"/>
    <mergeCell ref="F26:G26"/>
    <mergeCell ref="A17:C17"/>
    <mergeCell ref="D17:G17"/>
    <mergeCell ref="A20:G20"/>
    <mergeCell ref="A22:A23"/>
    <mergeCell ref="B22:B23"/>
    <mergeCell ref="C22:C23"/>
    <mergeCell ref="D22:D23"/>
    <mergeCell ref="E22:E23"/>
    <mergeCell ref="F22:F23"/>
    <mergeCell ref="G22:G23"/>
    <mergeCell ref="B14:C14"/>
    <mergeCell ref="D14:E14"/>
    <mergeCell ref="B15:C15"/>
    <mergeCell ref="D15:E15"/>
    <mergeCell ref="B16:C16"/>
    <mergeCell ref="D16:E16"/>
    <mergeCell ref="A6:G6"/>
    <mergeCell ref="A7:G7"/>
    <mergeCell ref="A8:G8"/>
    <mergeCell ref="A10:G10"/>
    <mergeCell ref="B13:C13"/>
    <mergeCell ref="D13:E13"/>
    <mergeCell ref="A1:B3"/>
    <mergeCell ref="C1:E2"/>
    <mergeCell ref="F1:G1"/>
    <mergeCell ref="F2:G2"/>
    <mergeCell ref="C3:E3"/>
    <mergeCell ref="F3:G3"/>
  </mergeCells>
  <hyperlinks>
    <hyperlink ref="D17" r:id="rId1" xr:uid="{BEE6BFE9-D74C-4C28-BAB8-F97929035BA5}"/>
  </hyperlinks>
  <pageMargins left="0.7" right="0.7" top="0.75" bottom="0.75" header="0" footer="0"/>
  <pageSetup orientation="landscape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Q482"/>
  <sheetViews>
    <sheetView zoomScale="80" zoomScaleNormal="80" workbookViewId="0">
      <pane xSplit="3" ySplit="4" topLeftCell="D5" activePane="bottomRight" state="frozen"/>
      <selection pane="topRight" activeCell="D1" sqref="D1"/>
      <selection pane="bottomLeft" activeCell="A2" sqref="A2"/>
      <selection pane="bottomRight" activeCell="G25" sqref="G25"/>
    </sheetView>
  </sheetViews>
  <sheetFormatPr baseColWidth="10" defaultRowHeight="16.5" x14ac:dyDescent="0.3"/>
  <cols>
    <col min="1" max="1" width="12.625" style="391" customWidth="1"/>
    <col min="2" max="2" width="35" style="391" customWidth="1"/>
    <col min="3" max="3" width="16.875" style="391" customWidth="1"/>
    <col min="4" max="4" width="22.75" style="391" customWidth="1"/>
    <col min="5" max="6" width="11" style="391"/>
    <col min="7" max="7" width="41.875" style="391" customWidth="1"/>
    <col min="8" max="8" width="35" style="391" customWidth="1"/>
    <col min="9" max="9" width="20" style="391" customWidth="1"/>
    <col min="10" max="10" width="19" style="391" customWidth="1"/>
    <col min="11" max="11" width="37.25" style="396" customWidth="1"/>
    <col min="12" max="12" width="47.5" style="391" customWidth="1"/>
    <col min="13" max="13" width="14" style="391" customWidth="1"/>
    <col min="14" max="14" width="26.75" style="391" customWidth="1"/>
    <col min="15" max="15" width="23.75" style="391" customWidth="1"/>
    <col min="16" max="16" width="45.25" style="393" customWidth="1"/>
    <col min="17" max="17" width="28" style="391" bestFit="1" customWidth="1"/>
    <col min="18" max="18" width="20.875" style="391" customWidth="1"/>
    <col min="19" max="16384" width="11" style="391"/>
  </cols>
  <sheetData>
    <row r="1" spans="1:43" s="347" customFormat="1" ht="35.25" customHeight="1" x14ac:dyDescent="0.3">
      <c r="A1" s="345"/>
      <c r="B1" s="346"/>
      <c r="C1" s="464" t="str">
        <f>Control!$C$1</f>
        <v>Cuadro de mando para el ensayo de fibra cruda</v>
      </c>
      <c r="D1" s="465"/>
      <c r="E1" s="465"/>
      <c r="F1" s="465"/>
      <c r="G1" s="465"/>
      <c r="H1" s="465"/>
      <c r="I1" s="465"/>
      <c r="J1" s="465"/>
      <c r="K1" s="465"/>
      <c r="L1" s="465"/>
      <c r="M1" s="465"/>
      <c r="N1" s="465"/>
      <c r="O1" s="465"/>
      <c r="P1" s="466"/>
      <c r="Q1" s="458" t="str">
        <f>Control!$F$1</f>
        <v>Identificación:SOFT-TC-075</v>
      </c>
      <c r="R1" s="459"/>
    </row>
    <row r="2" spans="1:43" s="347" customFormat="1" ht="20.25" customHeight="1" x14ac:dyDescent="0.3">
      <c r="A2" s="345"/>
      <c r="B2" s="346"/>
      <c r="C2" s="464"/>
      <c r="D2" s="465"/>
      <c r="E2" s="465"/>
      <c r="F2" s="465"/>
      <c r="G2" s="465"/>
      <c r="H2" s="465"/>
      <c r="I2" s="465"/>
      <c r="J2" s="465"/>
      <c r="K2" s="465"/>
      <c r="L2" s="465"/>
      <c r="M2" s="465"/>
      <c r="N2" s="465"/>
      <c r="O2" s="465"/>
      <c r="P2" s="466"/>
      <c r="Q2" s="458" t="str">
        <f>Control!$F$2</f>
        <v>Revisión: 1</v>
      </c>
      <c r="R2" s="459"/>
    </row>
    <row r="3" spans="1:43" s="347" customFormat="1" ht="23.25" customHeight="1" x14ac:dyDescent="0.35">
      <c r="A3" s="345"/>
      <c r="B3" s="346"/>
      <c r="C3" s="467" t="s">
        <v>1283</v>
      </c>
      <c r="D3" s="468"/>
      <c r="E3" s="468"/>
      <c r="F3" s="468"/>
      <c r="G3" s="468"/>
      <c r="H3" s="468"/>
      <c r="I3" s="468"/>
      <c r="J3" s="468"/>
      <c r="K3" s="468"/>
      <c r="L3" s="468"/>
      <c r="M3" s="468"/>
      <c r="N3" s="468"/>
      <c r="O3" s="468"/>
      <c r="P3" s="469"/>
      <c r="Q3" s="460" t="str">
        <f>Control!$F$3</f>
        <v>Inicio de vigencia: 2020-04-01</v>
      </c>
      <c r="R3" s="461"/>
    </row>
    <row r="4" spans="1:43" s="347" customFormat="1" ht="20.25" x14ac:dyDescent="0.3">
      <c r="A4" s="348" t="s">
        <v>1380</v>
      </c>
      <c r="B4" s="348"/>
      <c r="C4" s="462"/>
      <c r="D4" s="462"/>
      <c r="E4" s="462"/>
      <c r="F4" s="462"/>
      <c r="G4" s="462"/>
      <c r="H4" s="462"/>
      <c r="I4" s="462"/>
      <c r="J4" s="462"/>
      <c r="K4" s="462"/>
      <c r="L4" s="462"/>
      <c r="M4" s="462"/>
      <c r="N4" s="462"/>
      <c r="O4" s="463"/>
      <c r="S4" s="349"/>
      <c r="T4" s="349"/>
      <c r="U4" s="349"/>
      <c r="V4" s="349"/>
      <c r="W4" s="349"/>
      <c r="X4" s="349"/>
      <c r="Y4" s="349"/>
      <c r="Z4" s="349"/>
      <c r="AA4" s="349"/>
      <c r="AB4" s="349"/>
      <c r="AC4" s="349"/>
      <c r="AD4" s="349"/>
      <c r="AE4" s="349"/>
      <c r="AF4" s="349"/>
      <c r="AG4" s="349"/>
      <c r="AH4" s="349"/>
      <c r="AI4" s="349"/>
      <c r="AJ4" s="349"/>
      <c r="AK4" s="349"/>
      <c r="AL4" s="349"/>
      <c r="AM4" s="349"/>
      <c r="AN4" s="349"/>
      <c r="AO4" s="349"/>
      <c r="AP4" s="349"/>
      <c r="AQ4" s="349"/>
    </row>
    <row r="5" spans="1:43" s="347" customFormat="1" x14ac:dyDescent="0.3">
      <c r="A5" s="350" t="s">
        <v>1285</v>
      </c>
      <c r="B5" s="351" t="s">
        <v>1286</v>
      </c>
      <c r="C5" s="350" t="s">
        <v>1287</v>
      </c>
      <c r="D5" s="351" t="s">
        <v>1288</v>
      </c>
      <c r="E5" s="352" t="s">
        <v>1289</v>
      </c>
      <c r="F5" s="352"/>
      <c r="G5" s="353" t="s">
        <v>1290</v>
      </c>
      <c r="H5" s="354" t="s">
        <v>1291</v>
      </c>
      <c r="I5" s="355" t="s">
        <v>1292</v>
      </c>
      <c r="J5" s="354"/>
      <c r="K5" s="354" t="s">
        <v>1293</v>
      </c>
      <c r="L5" s="356">
        <v>44061</v>
      </c>
      <c r="M5" s="352" t="s">
        <v>1289</v>
      </c>
      <c r="N5" s="352"/>
      <c r="O5" s="356" t="s">
        <v>1294</v>
      </c>
    </row>
    <row r="6" spans="1:43" s="347" customFormat="1" ht="17.25" thickBot="1" x14ac:dyDescent="0.35">
      <c r="A6" s="357" t="s">
        <v>1295</v>
      </c>
      <c r="B6" s="358" t="s">
        <v>1274</v>
      </c>
      <c r="C6" s="359" t="s">
        <v>1296</v>
      </c>
      <c r="D6" s="360" t="s">
        <v>1297</v>
      </c>
      <c r="E6" s="361" t="s">
        <v>1298</v>
      </c>
      <c r="F6" s="362" t="s">
        <v>1299</v>
      </c>
      <c r="G6" s="361" t="s">
        <v>1300</v>
      </c>
      <c r="H6" s="363">
        <v>1E-3</v>
      </c>
      <c r="I6" s="361" t="s">
        <v>1301</v>
      </c>
      <c r="J6" s="364"/>
      <c r="K6" s="365"/>
      <c r="L6" s="364">
        <v>0</v>
      </c>
      <c r="M6" s="366" t="s">
        <v>1302</v>
      </c>
      <c r="N6" s="366"/>
      <c r="O6" s="367">
        <v>44022</v>
      </c>
    </row>
    <row r="7" spans="1:43" s="347" customFormat="1" hidden="1" x14ac:dyDescent="0.3">
      <c r="E7" s="368"/>
      <c r="F7" s="368"/>
      <c r="G7" s="368"/>
      <c r="H7" s="368"/>
      <c r="I7" s="368"/>
      <c r="J7" s="368"/>
      <c r="K7" s="368"/>
      <c r="L7" s="368"/>
      <c r="M7" s="368"/>
      <c r="N7" s="368"/>
      <c r="O7" s="368"/>
    </row>
    <row r="8" spans="1:43" s="347" customFormat="1" hidden="1" x14ac:dyDescent="0.3">
      <c r="A8" s="369" t="s">
        <v>1303</v>
      </c>
      <c r="B8" s="369"/>
      <c r="C8" s="369"/>
      <c r="E8" s="368"/>
      <c r="F8" s="368"/>
      <c r="G8" s="368"/>
      <c r="H8" s="368"/>
      <c r="I8" s="368"/>
      <c r="J8" s="368"/>
      <c r="K8" s="368"/>
      <c r="L8" s="368"/>
      <c r="M8" s="368"/>
      <c r="N8" s="368"/>
      <c r="O8" s="368"/>
    </row>
    <row r="9" spans="1:43" s="347" customFormat="1" ht="17.25" hidden="1" thickBot="1" x14ac:dyDescent="0.35">
      <c r="A9" s="369" t="s">
        <v>1287</v>
      </c>
      <c r="B9" s="370" t="str">
        <f>G5</f>
        <v>2020-04-22</v>
      </c>
      <c r="E9" s="368"/>
      <c r="F9" s="368"/>
      <c r="G9" s="368"/>
      <c r="H9" s="368"/>
      <c r="I9" s="368"/>
      <c r="J9" s="368"/>
      <c r="K9" s="368"/>
      <c r="L9" s="368"/>
      <c r="M9" s="368"/>
      <c r="N9" s="368"/>
      <c r="O9" s="368"/>
    </row>
    <row r="10" spans="1:43" s="347" customFormat="1" hidden="1" x14ac:dyDescent="0.3">
      <c r="A10" s="371" t="s">
        <v>1304</v>
      </c>
      <c r="B10" s="372" t="s">
        <v>1305</v>
      </c>
      <c r="C10" s="373" t="s">
        <v>1306</v>
      </c>
      <c r="E10" s="368"/>
      <c r="F10" s="368"/>
      <c r="G10" s="368"/>
      <c r="H10" s="368"/>
      <c r="I10" s="368"/>
      <c r="J10" s="368"/>
      <c r="K10" s="368"/>
      <c r="L10" s="368"/>
      <c r="M10" s="368"/>
      <c r="N10" s="368"/>
      <c r="O10" s="368"/>
    </row>
    <row r="11" spans="1:43" s="347" customFormat="1" hidden="1" x14ac:dyDescent="0.3">
      <c r="A11" s="374">
        <v>22.000012000000002</v>
      </c>
      <c r="B11" s="355">
        <v>4.8999999999999998E-4</v>
      </c>
      <c r="C11" s="375">
        <v>43943</v>
      </c>
      <c r="E11" s="368"/>
      <c r="F11" s="368"/>
      <c r="G11" s="368"/>
      <c r="H11" s="376"/>
      <c r="I11" s="368"/>
      <c r="J11" s="368"/>
      <c r="K11" s="368"/>
      <c r="L11" s="368"/>
      <c r="M11" s="368"/>
      <c r="N11" s="368"/>
      <c r="O11" s="368"/>
    </row>
    <row r="12" spans="1:43" s="347" customFormat="1" hidden="1" x14ac:dyDescent="0.3">
      <c r="A12" s="374">
        <v>65.000045999999998</v>
      </c>
      <c r="B12" s="355">
        <v>5.5000000000000003E-4</v>
      </c>
      <c r="C12" s="375">
        <v>43943</v>
      </c>
      <c r="E12" s="368"/>
      <c r="F12" s="368"/>
      <c r="G12" s="368"/>
      <c r="H12" s="368"/>
      <c r="I12" s="368"/>
      <c r="J12" s="368"/>
      <c r="K12" s="368"/>
      <c r="L12" s="368"/>
      <c r="M12" s="368"/>
      <c r="N12" s="368"/>
      <c r="O12" s="368"/>
    </row>
    <row r="13" spans="1:43" s="347" customFormat="1" ht="17.25" hidden="1" thickBot="1" x14ac:dyDescent="0.35">
      <c r="A13" s="377">
        <v>130.00029000000001</v>
      </c>
      <c r="B13" s="378">
        <v>2.7E-4</v>
      </c>
      <c r="C13" s="379">
        <v>43943</v>
      </c>
      <c r="E13" s="368"/>
      <c r="F13" s="368"/>
      <c r="G13" s="368"/>
      <c r="H13" s="368"/>
      <c r="I13" s="368"/>
      <c r="J13" s="368"/>
      <c r="K13" s="368"/>
      <c r="L13" s="368"/>
      <c r="M13" s="368"/>
      <c r="N13" s="368"/>
      <c r="O13" s="368"/>
    </row>
    <row r="14" spans="1:43" s="347" customFormat="1" hidden="1" x14ac:dyDescent="0.3">
      <c r="A14" s="380" t="s">
        <v>1001</v>
      </c>
      <c r="B14" s="381">
        <f>SLOPE(B11:B13,A11:A13)</f>
        <v>-2.2200877897812992E-6</v>
      </c>
      <c r="E14" s="368"/>
      <c r="F14" s="368"/>
      <c r="G14" s="368"/>
      <c r="H14" s="368"/>
      <c r="I14" s="368"/>
      <c r="J14" s="368"/>
      <c r="K14" s="368"/>
      <c r="L14" s="368"/>
      <c r="M14" s="368"/>
      <c r="N14" s="368"/>
      <c r="O14" s="368"/>
    </row>
    <row r="15" spans="1:43" s="347" customFormat="1" ht="17.25" hidden="1" thickBot="1" x14ac:dyDescent="0.35">
      <c r="A15" s="382" t="s">
        <v>1002</v>
      </c>
      <c r="B15" s="383">
        <f>INTERCEPT(B11:B13,A11:A13)</f>
        <v>5.9725327432436429E-4</v>
      </c>
      <c r="E15" s="368"/>
      <c r="F15" s="368"/>
      <c r="G15" s="368"/>
      <c r="H15" s="368"/>
      <c r="I15" s="368"/>
      <c r="J15" s="368"/>
      <c r="K15" s="368"/>
      <c r="L15" s="368"/>
      <c r="M15" s="368"/>
      <c r="N15" s="368"/>
      <c r="O15" s="368"/>
    </row>
    <row r="16" spans="1:43" s="347" customFormat="1" hidden="1" x14ac:dyDescent="0.3">
      <c r="E16" s="368"/>
      <c r="F16" s="368"/>
      <c r="G16" s="368"/>
      <c r="H16" s="368"/>
      <c r="I16" s="368"/>
      <c r="J16" s="368"/>
      <c r="K16" s="368"/>
      <c r="L16" s="368"/>
      <c r="M16" s="368"/>
      <c r="N16" s="368"/>
      <c r="O16" s="368"/>
    </row>
    <row r="17" spans="1:18" ht="60" customHeight="1" x14ac:dyDescent="0.3">
      <c r="A17" s="384" t="s">
        <v>62</v>
      </c>
      <c r="B17" s="385" t="s">
        <v>269</v>
      </c>
      <c r="C17" s="385" t="s">
        <v>64</v>
      </c>
      <c r="D17" s="385" t="s">
        <v>1348</v>
      </c>
      <c r="E17" s="385" t="s">
        <v>1308</v>
      </c>
      <c r="F17" s="385" t="s">
        <v>1309</v>
      </c>
      <c r="G17" s="385" t="s">
        <v>1310</v>
      </c>
      <c r="H17" s="385" t="s">
        <v>1311</v>
      </c>
      <c r="I17" s="385" t="s">
        <v>1346</v>
      </c>
      <c r="J17" s="385" t="s">
        <v>1312</v>
      </c>
      <c r="K17" s="385" t="s">
        <v>1313</v>
      </c>
      <c r="L17" s="386" t="s">
        <v>1314</v>
      </c>
      <c r="M17" s="387" t="s">
        <v>1315</v>
      </c>
      <c r="N17" s="388" t="s">
        <v>1316</v>
      </c>
      <c r="O17" s="388" t="s">
        <v>1317</v>
      </c>
      <c r="P17" s="389" t="s">
        <v>1334</v>
      </c>
      <c r="Q17" s="389" t="s">
        <v>1318</v>
      </c>
      <c r="R17" s="390" t="s">
        <v>567</v>
      </c>
    </row>
    <row r="18" spans="1:18" ht="33" x14ac:dyDescent="0.3">
      <c r="A18" s="397">
        <v>44000</v>
      </c>
      <c r="B18" s="398"/>
      <c r="C18" s="399" t="s">
        <v>126</v>
      </c>
      <c r="D18" s="399" t="s">
        <v>862</v>
      </c>
      <c r="E18" s="399">
        <v>0.26129999999999998</v>
      </c>
      <c r="F18" s="399">
        <v>1</v>
      </c>
      <c r="G18" s="400">
        <v>29.446000000000002</v>
      </c>
      <c r="H18" s="400">
        <v>29.182600000000001</v>
      </c>
      <c r="I18" s="400">
        <v>2.1000000000022112E-3</v>
      </c>
      <c r="J18" s="406">
        <f>IF(OR(ISBLANK(Tabla1[[#This Row],[M3 '[g'] PESO CRISOL+MUESTRA (SECA)]]),ISBLANK(Tabla1[[#This Row],[M1 '[g']]]),ISBLANK(Tabla1[[#This Row],[M4 '[g']  PESO CRISOL + CENIZAS]]),ISBLANK(Tabla1[[#This Row],[M5]])),"",Tabla1[[#This Row],[M3 '[g'] PESO CRISOL+MUESTRA (SECA)]]-Tabla1[[#This Row],[M1 '[g']]]-Tabla1[[#This Row],[M4 '[g']  PESO CRISOL + CENIZAS]]-Tabla1[[#This Row],[M5]])</f>
        <v>0</v>
      </c>
      <c r="K18" s="407">
        <f>IF(OR(ISBLANK(Tabla1[[#This Row],[M3 '[g'] PESO CRISOL+MUESTRA (SECA)]]),ISBLANK(Tabla1[[#This Row],[M1 '[g']]]),ISBLANK(Tabla1[[#This Row],[M4 '[g']  PESO CRISOL + CENIZAS]])),"",Tabla1[[#This Row],[M3 '[g'] PESO CRISOL+MUESTRA (SECA)]]-Tabla1[[#This Row],[M1 '[g']]]-Tabla1[[#This Row],[M4 '[g']  PESO CRISOL + CENIZAS]])</f>
        <v>2.1000000000022112E-3</v>
      </c>
      <c r="L18" s="408">
        <f>IF(ISNUMBER(Tabla1[[#This Row],[%FIBRA TOTAL]]),Tabla1[[#This Row],[%FIBRA TOTAL]]*(100-Tabla1[[#This Row],[%Grasa y/o % humedad En la Muestra g/100g]])/100,"")</f>
        <v>2.1000000000022112E-3</v>
      </c>
      <c r="M18" s="393"/>
      <c r="N18" s="399" t="s">
        <v>1319</v>
      </c>
      <c r="O18" s="411" t="s">
        <v>1217</v>
      </c>
      <c r="P18" s="412" t="s">
        <v>1335</v>
      </c>
      <c r="Q18" s="413" t="s">
        <v>1320</v>
      </c>
      <c r="R18" s="414"/>
    </row>
    <row r="19" spans="1:18" ht="15.75" customHeight="1" x14ac:dyDescent="0.3">
      <c r="A19" s="397">
        <v>44194</v>
      </c>
      <c r="B19" s="398" t="s">
        <v>905</v>
      </c>
      <c r="C19" s="399" t="s">
        <v>1321</v>
      </c>
      <c r="D19" s="399" t="s">
        <v>1271</v>
      </c>
      <c r="E19" s="401">
        <v>0.26050000000000001</v>
      </c>
      <c r="F19" s="401">
        <v>1.0033000000000001</v>
      </c>
      <c r="G19" s="400">
        <v>29.831800000000001</v>
      </c>
      <c r="H19" s="400">
        <v>29.179400000000001</v>
      </c>
      <c r="I19" s="400">
        <v>2.1000000000022112E-3</v>
      </c>
      <c r="J19" s="406">
        <f>IF(OR(ISBLANK(Tabla1[[#This Row],[M3 '[g'] PESO CRISOL+MUESTRA (SECA)]]),ISBLANK(Tabla1[[#This Row],[M1 '[g']]]),ISBLANK(Tabla1[[#This Row],[M4 '[g']  PESO CRISOL + CENIZAS]]),ISBLANK(Tabla1[[#This Row],[M5]])),"",Tabla1[[#This Row],[M3 '[g'] PESO CRISOL+MUESTRA (SECA)]]-Tabla1[[#This Row],[M1 '[g']]]-Tabla1[[#This Row],[M4 '[g']  PESO CRISOL + CENIZAS]]-Tabla1[[#This Row],[M5]])</f>
        <v>0.38979999999999748</v>
      </c>
      <c r="K19" s="407">
        <f>IF(OR(ISBLANK(Tabla1[[#This Row],[M3 '[g'] PESO CRISOL+MUESTRA (SECA)]]),ISBLANK(Tabla1[[#This Row],[M1 '[g']]]),ISBLANK(Tabla1[[#This Row],[M4 '[g']  PESO CRISOL + CENIZAS]])),"",Tabla1[[#This Row],[M3 '[g'] PESO CRISOL+MUESTRA (SECA)]]-Tabla1[[#This Row],[M1 '[g']]]-Tabla1[[#This Row],[M4 '[g']  PESO CRISOL + CENIZAS]])</f>
        <v>0.39189999999999969</v>
      </c>
      <c r="L19" s="407">
        <f>IF(ISNUMBER(Tabla1[[#This Row],[%FIBRA TOTAL]]),Tabla1[[#This Row],[%FIBRA TOTAL]]*(100-Tabla1[[#This Row],[%Grasa y/o % humedad En la Muestra g/100g]])/100,"")</f>
        <v>9.374247999999992E-2</v>
      </c>
      <c r="M19" s="393">
        <v>76.08</v>
      </c>
      <c r="N19" s="399" t="s">
        <v>1213</v>
      </c>
      <c r="O19" s="411" t="s">
        <v>1217</v>
      </c>
      <c r="P19" s="412" t="s">
        <v>1335</v>
      </c>
      <c r="Q19" s="413" t="s">
        <v>1322</v>
      </c>
      <c r="R19" s="414"/>
    </row>
    <row r="20" spans="1:18" ht="15.75" customHeight="1" x14ac:dyDescent="0.3">
      <c r="A20" s="397">
        <v>44560</v>
      </c>
      <c r="B20" s="398" t="s">
        <v>905</v>
      </c>
      <c r="C20" s="399" t="s">
        <v>1321</v>
      </c>
      <c r="D20" s="399" t="s">
        <v>1269</v>
      </c>
      <c r="E20" s="401">
        <v>0.2606</v>
      </c>
      <c r="F20" s="401">
        <v>1.0055000000000001</v>
      </c>
      <c r="G20" s="400">
        <v>23.1935</v>
      </c>
      <c r="H20" s="400">
        <v>22.574000000000002</v>
      </c>
      <c r="I20" s="400">
        <v>2.1000000000022112E-3</v>
      </c>
      <c r="J20" s="406">
        <f>IF(OR(ISBLANK(Tabla1[[#This Row],[M3 '[g'] PESO CRISOL+MUESTRA (SECA)]]),ISBLANK(Tabla1[[#This Row],[M1 '[g']]]),ISBLANK(Tabla1[[#This Row],[M4 '[g']  PESO CRISOL + CENIZAS]]),ISBLANK(Tabla1[[#This Row],[M5]])),"",Tabla1[[#This Row],[M3 '[g'] PESO CRISOL+MUESTRA (SECA)]]-Tabla1[[#This Row],[M1 '[g']]]-Tabla1[[#This Row],[M4 '[g']  PESO CRISOL + CENIZAS]]-Tabla1[[#This Row],[M5]])</f>
        <v>0.35679999999999623</v>
      </c>
      <c r="K20" s="407">
        <f>IF(OR(ISBLANK(Tabla1[[#This Row],[M3 '[g'] PESO CRISOL+MUESTRA (SECA)]]),ISBLANK(Tabla1[[#This Row],[M1 '[g']]]),ISBLANK(Tabla1[[#This Row],[M4 '[g']  PESO CRISOL + CENIZAS]])),"",Tabla1[[#This Row],[M3 '[g'] PESO CRISOL+MUESTRA (SECA)]]-Tabla1[[#This Row],[M1 '[g']]]-Tabla1[[#This Row],[M4 '[g']  PESO CRISOL + CENIZAS]])</f>
        <v>0.35889999999999844</v>
      </c>
      <c r="L20" s="407">
        <f>IF(ISNUMBER(Tabla1[[#This Row],[%FIBRA TOTAL]]),Tabla1[[#This Row],[%FIBRA TOTAL]]*(100-Tabla1[[#This Row],[%Grasa y/o % humedad En la Muestra g/100g]])/100,"")</f>
        <v>8.5848879999999642E-2</v>
      </c>
      <c r="M20" s="393">
        <v>76.08</v>
      </c>
      <c r="N20" s="399" t="s">
        <v>1213</v>
      </c>
      <c r="O20" s="411" t="s">
        <v>1217</v>
      </c>
      <c r="P20" s="412" t="s">
        <v>1335</v>
      </c>
      <c r="Q20" s="413" t="s">
        <v>1322</v>
      </c>
      <c r="R20" s="414"/>
    </row>
    <row r="21" spans="1:18" ht="15.75" customHeight="1" x14ac:dyDescent="0.3">
      <c r="A21" s="397">
        <v>44214</v>
      </c>
      <c r="B21" s="398" t="s">
        <v>905</v>
      </c>
      <c r="C21" s="399" t="s">
        <v>1323</v>
      </c>
      <c r="D21" s="399" t="s">
        <v>1271</v>
      </c>
      <c r="E21" s="399">
        <v>0.26079999999999998</v>
      </c>
      <c r="F21" s="399">
        <v>1.0105</v>
      </c>
      <c r="G21" s="400">
        <v>21.742999999999999</v>
      </c>
      <c r="H21" s="400">
        <v>21.438199999999998</v>
      </c>
      <c r="I21" s="400">
        <v>2.1000000000022112E-3</v>
      </c>
      <c r="J21" s="406">
        <f>IF(OR(ISBLANK(Tabla1[[#This Row],[M3 '[g'] PESO CRISOL+MUESTRA (SECA)]]),ISBLANK(Tabla1[[#This Row],[M1 '[g']]]),ISBLANK(Tabla1[[#This Row],[M4 '[g']  PESO CRISOL + CENIZAS]]),ISBLANK(Tabla1[[#This Row],[M5]])),"",Tabla1[[#This Row],[M3 '[g'] PESO CRISOL+MUESTRA (SECA)]]-Tabla1[[#This Row],[M1 '[g']]]-Tabla1[[#This Row],[M4 '[g']  PESO CRISOL + CENIZAS]]-Tabla1[[#This Row],[M5]])</f>
        <v>4.1899999999998272E-2</v>
      </c>
      <c r="K21" s="407">
        <f>IF(OR(ISBLANK(Tabla1[[#This Row],[M3 '[g'] PESO CRISOL+MUESTRA (SECA)]]),ISBLANK(Tabla1[[#This Row],[M1 '[g']]]),ISBLANK(Tabla1[[#This Row],[M4 '[g']  PESO CRISOL + CENIZAS]])),"",Tabla1[[#This Row],[M3 '[g'] PESO CRISOL+MUESTRA (SECA)]]-Tabla1[[#This Row],[M1 '[g']]]-Tabla1[[#This Row],[M4 '[g']  PESO CRISOL + CENIZAS]])</f>
        <v>4.4000000000000483E-2</v>
      </c>
      <c r="L21" s="407">
        <f>IF(ISNUMBER(Tabla1[[#This Row],[%FIBRA TOTAL]]),Tabla1[[#This Row],[%FIBRA TOTAL]]*(100-Tabla1[[#This Row],[%Grasa y/o % humedad En la Muestra g/100g]])/100,"")</f>
        <v>4.9896000000000558E-3</v>
      </c>
      <c r="M21" s="393">
        <v>88.66</v>
      </c>
      <c r="N21" s="399" t="s">
        <v>1222</v>
      </c>
      <c r="O21" s="411" t="s">
        <v>1217</v>
      </c>
      <c r="P21" s="412" t="s">
        <v>1335</v>
      </c>
      <c r="Q21" s="413" t="s">
        <v>1324</v>
      </c>
      <c r="R21" s="414"/>
    </row>
    <row r="22" spans="1:18" ht="15.75" customHeight="1" x14ac:dyDescent="0.3">
      <c r="A22" s="397">
        <v>44214</v>
      </c>
      <c r="B22" s="398" t="s">
        <v>905</v>
      </c>
      <c r="C22" s="399" t="s">
        <v>1323</v>
      </c>
      <c r="D22" s="399" t="s">
        <v>1269</v>
      </c>
      <c r="E22" s="399">
        <v>0.26050000000000001</v>
      </c>
      <c r="F22" s="399">
        <v>1.0115000000000001</v>
      </c>
      <c r="G22" s="400">
        <v>28.500800000000002</v>
      </c>
      <c r="H22" s="400">
        <v>28.206399999999999</v>
      </c>
      <c r="I22" s="400">
        <v>2.1000000000022112E-3</v>
      </c>
      <c r="J22" s="406">
        <f>IF(OR(ISBLANK(Tabla1[[#This Row],[M3 '[g'] PESO CRISOL+MUESTRA (SECA)]]),ISBLANK(Tabla1[[#This Row],[M1 '[g']]]),ISBLANK(Tabla1[[#This Row],[M4 '[g']  PESO CRISOL + CENIZAS]]),ISBLANK(Tabla1[[#This Row],[M5]])),"",Tabla1[[#This Row],[M3 '[g'] PESO CRISOL+MUESTRA (SECA)]]-Tabla1[[#This Row],[M1 '[g']]]-Tabla1[[#This Row],[M4 '[g']  PESO CRISOL + CENIZAS]]-Tabla1[[#This Row],[M5]])</f>
        <v>3.1800000000000495E-2</v>
      </c>
      <c r="K22" s="407">
        <f>IF(OR(ISBLANK(Tabla1[[#This Row],[M3 '[g'] PESO CRISOL+MUESTRA (SECA)]]),ISBLANK(Tabla1[[#This Row],[M1 '[g']]]),ISBLANK(Tabla1[[#This Row],[M4 '[g']  PESO CRISOL + CENIZAS]])),"",Tabla1[[#This Row],[M3 '[g'] PESO CRISOL+MUESTRA (SECA)]]-Tabla1[[#This Row],[M1 '[g']]]-Tabla1[[#This Row],[M4 '[g']  PESO CRISOL + CENIZAS]])</f>
        <v>3.3900000000002706E-2</v>
      </c>
      <c r="L22" s="407">
        <f>IF(ISNUMBER(Tabla1[[#This Row],[%FIBRA TOTAL]]),Tabla1[[#This Row],[%FIBRA TOTAL]]*(100-Tabla1[[#This Row],[%Grasa y/o % humedad En la Muestra g/100g]])/100,"")</f>
        <v>3.8442600000003079E-3</v>
      </c>
      <c r="M22" s="393">
        <v>88.66</v>
      </c>
      <c r="N22" s="399" t="s">
        <v>1222</v>
      </c>
      <c r="O22" s="411" t="s">
        <v>1217</v>
      </c>
      <c r="P22" s="412" t="s">
        <v>1335</v>
      </c>
      <c r="Q22" s="413" t="s">
        <v>1324</v>
      </c>
      <c r="R22" s="414"/>
    </row>
    <row r="23" spans="1:18" ht="15.75" customHeight="1" x14ac:dyDescent="0.3">
      <c r="A23" s="397">
        <v>44218</v>
      </c>
      <c r="B23" s="398" t="s">
        <v>914</v>
      </c>
      <c r="C23" s="399" t="s">
        <v>1325</v>
      </c>
      <c r="D23" s="399" t="s">
        <v>1271</v>
      </c>
      <c r="E23" s="399">
        <v>0.26079999999999998</v>
      </c>
      <c r="F23" s="399">
        <v>1.0074000000000001</v>
      </c>
      <c r="G23" s="400">
        <v>27.0214</v>
      </c>
      <c r="H23" s="400">
        <v>25.853400000000001</v>
      </c>
      <c r="I23" s="400">
        <v>2.1000000000022112E-3</v>
      </c>
      <c r="J23" s="406">
        <f>IF(OR(ISBLANK(Tabla1[[#This Row],[M3 '[g'] PESO CRISOL+MUESTRA (SECA)]]),ISBLANK(Tabla1[[#This Row],[M1 '[g']]]),ISBLANK(Tabla1[[#This Row],[M4 '[g']  PESO CRISOL + CENIZAS]]),ISBLANK(Tabla1[[#This Row],[M5]])),"",Tabla1[[#This Row],[M3 '[g'] PESO CRISOL+MUESTRA (SECA)]]-Tabla1[[#This Row],[M1 '[g']]]-Tabla1[[#This Row],[M4 '[g']  PESO CRISOL + CENIZAS]]-Tabla1[[#This Row],[M5]])</f>
        <v>0.90509999999999735</v>
      </c>
      <c r="K23" s="407">
        <f>IF(OR(ISBLANK(Tabla1[[#This Row],[M3 '[g'] PESO CRISOL+MUESTRA (SECA)]]),ISBLANK(Tabla1[[#This Row],[M1 '[g']]]),ISBLANK(Tabla1[[#This Row],[M4 '[g']  PESO CRISOL + CENIZAS]])),"",Tabla1[[#This Row],[M3 '[g'] PESO CRISOL+MUESTRA (SECA)]]-Tabla1[[#This Row],[M1 '[g']]]-Tabla1[[#This Row],[M4 '[g']  PESO CRISOL + CENIZAS]])</f>
        <v>0.90719999999999956</v>
      </c>
      <c r="L23" s="407">
        <f>IF(ISNUMBER(Tabla1[[#This Row],[%FIBRA TOTAL]]),Tabla1[[#This Row],[%FIBRA TOTAL]]*(100-Tabla1[[#This Row],[%Grasa y/o % humedad En la Muestra g/100g]])/100,"")</f>
        <v>0.59040575999999978</v>
      </c>
      <c r="M23" s="393">
        <v>34.92</v>
      </c>
      <c r="N23" s="399" t="s">
        <v>1222</v>
      </c>
      <c r="O23" s="411" t="s">
        <v>1217</v>
      </c>
      <c r="P23" s="412" t="s">
        <v>1335</v>
      </c>
      <c r="Q23" s="413" t="s">
        <v>1326</v>
      </c>
      <c r="R23" s="414"/>
    </row>
    <row r="24" spans="1:18" ht="15.75" customHeight="1" x14ac:dyDescent="0.3">
      <c r="A24" s="397">
        <v>44218</v>
      </c>
      <c r="B24" s="398" t="s">
        <v>914</v>
      </c>
      <c r="C24" s="399" t="s">
        <v>1325</v>
      </c>
      <c r="D24" s="399" t="s">
        <v>1269</v>
      </c>
      <c r="E24" s="399">
        <v>0.26040000000000002</v>
      </c>
      <c r="F24" s="399">
        <v>1.0074000000000001</v>
      </c>
      <c r="G24" s="400">
        <v>23.8855</v>
      </c>
      <c r="H24" s="400">
        <v>22.7179</v>
      </c>
      <c r="I24" s="400">
        <v>2.1000000000022112E-3</v>
      </c>
      <c r="J24" s="406">
        <f>IF(OR(ISBLANK(Tabla1[[#This Row],[M3 '[g'] PESO CRISOL+MUESTRA (SECA)]]),ISBLANK(Tabla1[[#This Row],[M1 '[g']]]),ISBLANK(Tabla1[[#This Row],[M4 '[g']  PESO CRISOL + CENIZAS]]),ISBLANK(Tabla1[[#This Row],[M5]])),"",Tabla1[[#This Row],[M3 '[g'] PESO CRISOL+MUESTRA (SECA)]]-Tabla1[[#This Row],[M1 '[g']]]-Tabla1[[#This Row],[M4 '[g']  PESO CRISOL + CENIZAS]]-Tabla1[[#This Row],[M5]])</f>
        <v>0.90509999999999735</v>
      </c>
      <c r="K24" s="407">
        <f>IF(OR(ISBLANK(Tabla1[[#This Row],[M3 '[g'] PESO CRISOL+MUESTRA (SECA)]]),ISBLANK(Tabla1[[#This Row],[M1 '[g']]]),ISBLANK(Tabla1[[#This Row],[M4 '[g']  PESO CRISOL + CENIZAS]])),"",Tabla1[[#This Row],[M3 '[g'] PESO CRISOL+MUESTRA (SECA)]]-Tabla1[[#This Row],[M1 '[g']]]-Tabla1[[#This Row],[M4 '[g']  PESO CRISOL + CENIZAS]])</f>
        <v>0.90719999999999956</v>
      </c>
      <c r="L24" s="407">
        <f>IF(ISNUMBER(Tabla1[[#This Row],[%FIBRA TOTAL]]),Tabla1[[#This Row],[%FIBRA TOTAL]]*(100-Tabla1[[#This Row],[%Grasa y/o % humedad En la Muestra g/100g]])/100,"")</f>
        <v>0.59040575999999978</v>
      </c>
      <c r="M24" s="393">
        <v>34.92</v>
      </c>
      <c r="N24" s="399" t="s">
        <v>1222</v>
      </c>
      <c r="O24" s="411" t="s">
        <v>1217</v>
      </c>
      <c r="P24" s="412" t="s">
        <v>1335</v>
      </c>
      <c r="Q24" s="413" t="s">
        <v>1326</v>
      </c>
      <c r="R24" s="414"/>
    </row>
    <row r="25" spans="1:18" ht="15.75" customHeight="1" x14ac:dyDescent="0.3">
      <c r="A25" s="397">
        <v>44218</v>
      </c>
      <c r="B25" s="398" t="s">
        <v>914</v>
      </c>
      <c r="C25" s="399" t="s">
        <v>1327</v>
      </c>
      <c r="D25" s="399" t="s">
        <v>1271</v>
      </c>
      <c r="E25" s="399">
        <v>0.25990000000000002</v>
      </c>
      <c r="F25" s="399">
        <v>1.0035000000000001</v>
      </c>
      <c r="G25" s="400">
        <v>29.001799999999999</v>
      </c>
      <c r="H25" s="400">
        <v>27.7486</v>
      </c>
      <c r="I25" s="400">
        <v>2.1000000000022112E-3</v>
      </c>
      <c r="J25" s="406">
        <f>IF(OR(ISBLANK(Tabla1[[#This Row],[M3 '[g'] PESO CRISOL+MUESTRA (SECA)]]),ISBLANK(Tabla1[[#This Row],[M1 '[g']]]),ISBLANK(Tabla1[[#This Row],[M4 '[g']  PESO CRISOL + CENIZAS]]),ISBLANK(Tabla1[[#This Row],[M5]])),"",Tabla1[[#This Row],[M3 '[g'] PESO CRISOL+MUESTRA (SECA)]]-Tabla1[[#This Row],[M1 '[g']]]-Tabla1[[#This Row],[M4 '[g']  PESO CRISOL + CENIZAS]]-Tabla1[[#This Row],[M5]])</f>
        <v>0.99119999999999919</v>
      </c>
      <c r="K25" s="407">
        <f>IF(OR(ISBLANK(Tabla1[[#This Row],[M3 '[g'] PESO CRISOL+MUESTRA (SECA)]]),ISBLANK(Tabla1[[#This Row],[M1 '[g']]]),ISBLANK(Tabla1[[#This Row],[M4 '[g']  PESO CRISOL + CENIZAS]])),"",Tabla1[[#This Row],[M3 '[g'] PESO CRISOL+MUESTRA (SECA)]]-Tabla1[[#This Row],[M1 '[g']]]-Tabla1[[#This Row],[M4 '[g']  PESO CRISOL + CENIZAS]])</f>
        <v>0.9933000000000014</v>
      </c>
      <c r="L25" s="407">
        <f>IF(ISNUMBER(Tabla1[[#This Row],[%FIBRA TOTAL]]),Tabla1[[#This Row],[%FIBRA TOTAL]]*(100-Tabla1[[#This Row],[%Grasa y/o % humedad En la Muestra g/100g]])/100,"")</f>
        <v>0.49198149000000074</v>
      </c>
      <c r="M25" s="393">
        <v>50.47</v>
      </c>
      <c r="N25" s="399" t="s">
        <v>1222</v>
      </c>
      <c r="O25" s="411" t="s">
        <v>1217</v>
      </c>
      <c r="P25" s="412" t="s">
        <v>1335</v>
      </c>
      <c r="Q25" s="413" t="s">
        <v>1326</v>
      </c>
      <c r="R25" s="414"/>
    </row>
    <row r="26" spans="1:18" ht="15.75" customHeight="1" x14ac:dyDescent="0.3">
      <c r="A26" s="397">
        <v>44218</v>
      </c>
      <c r="B26" s="398" t="s">
        <v>914</v>
      </c>
      <c r="C26" s="399" t="s">
        <v>1327</v>
      </c>
      <c r="D26" s="399" t="s">
        <v>1269</v>
      </c>
      <c r="E26" s="399">
        <v>0.2606</v>
      </c>
      <c r="F26" s="399">
        <v>1.0043</v>
      </c>
      <c r="G26" s="400">
        <v>23.74</v>
      </c>
      <c r="H26" s="400">
        <v>22.575199999999999</v>
      </c>
      <c r="I26" s="400">
        <v>2.1000000000022112E-3</v>
      </c>
      <c r="J26" s="406">
        <f>IF(OR(ISBLANK(Tabla1[[#This Row],[M3 '[g'] PESO CRISOL+MUESTRA (SECA)]]),ISBLANK(Tabla1[[#This Row],[M1 '[g']]]),ISBLANK(Tabla1[[#This Row],[M4 '[g']  PESO CRISOL + CENIZAS]]),ISBLANK(Tabla1[[#This Row],[M5]])),"",Tabla1[[#This Row],[M3 '[g'] PESO CRISOL+MUESTRA (SECA)]]-Tabla1[[#This Row],[M1 '[g']]]-Tabla1[[#This Row],[M4 '[g']  PESO CRISOL + CENIZAS]]-Tabla1[[#This Row],[M5]])</f>
        <v>0.90209999999999724</v>
      </c>
      <c r="K26" s="407">
        <f>IF(OR(ISBLANK(Tabla1[[#This Row],[M3 '[g'] PESO CRISOL+MUESTRA (SECA)]]),ISBLANK(Tabla1[[#This Row],[M1 '[g']]]),ISBLANK(Tabla1[[#This Row],[M4 '[g']  PESO CRISOL + CENIZAS]])),"",Tabla1[[#This Row],[M3 '[g'] PESO CRISOL+MUESTRA (SECA)]]-Tabla1[[#This Row],[M1 '[g']]]-Tabla1[[#This Row],[M4 '[g']  PESO CRISOL + CENIZAS]])</f>
        <v>0.90419999999999945</v>
      </c>
      <c r="L26" s="407">
        <f>IF(ISNUMBER(Tabla1[[#This Row],[%FIBRA TOTAL]]),Tabla1[[#This Row],[%FIBRA TOTAL]]*(100-Tabla1[[#This Row],[%Grasa y/o % humedad En la Muestra g/100g]])/100,"")</f>
        <v>0.44785025999999972</v>
      </c>
      <c r="M26" s="393">
        <v>50.47</v>
      </c>
      <c r="N26" s="399" t="s">
        <v>1222</v>
      </c>
      <c r="O26" s="411" t="s">
        <v>1217</v>
      </c>
      <c r="P26" s="412" t="s">
        <v>1335</v>
      </c>
      <c r="Q26" s="413" t="s">
        <v>1326</v>
      </c>
      <c r="R26" s="414"/>
    </row>
    <row r="27" spans="1:18" ht="15.75" customHeight="1" x14ac:dyDescent="0.3">
      <c r="A27" s="397">
        <v>44224</v>
      </c>
      <c r="B27" s="398" t="s">
        <v>914</v>
      </c>
      <c r="C27" s="399" t="s">
        <v>1325</v>
      </c>
      <c r="D27" s="399" t="s">
        <v>1271</v>
      </c>
      <c r="E27" s="399">
        <v>0.26100000000000001</v>
      </c>
      <c r="F27" s="399">
        <v>1.0122</v>
      </c>
      <c r="G27" s="400">
        <v>21.724599999999999</v>
      </c>
      <c r="H27" s="400">
        <v>21.441299999999998</v>
      </c>
      <c r="I27" s="400">
        <v>2.1000000000022112E-3</v>
      </c>
      <c r="J27" s="406">
        <f>IF(OR(ISBLANK(Tabla1[[#This Row],[M3 '[g'] PESO CRISOL+MUESTRA (SECA)]]),ISBLANK(Tabla1[[#This Row],[M1 '[g']]]),ISBLANK(Tabla1[[#This Row],[M4 '[g']  PESO CRISOL + CENIZAS]]),ISBLANK(Tabla1[[#This Row],[M5]])),"",Tabla1[[#This Row],[M3 '[g'] PESO CRISOL+MUESTRA (SECA)]]-Tabla1[[#This Row],[M1 '[g']]]-Tabla1[[#This Row],[M4 '[g']  PESO CRISOL + CENIZAS]]-Tabla1[[#This Row],[M5]])</f>
        <v>2.0199999999999108E-2</v>
      </c>
      <c r="K27" s="407">
        <f>IF(OR(ISBLANK(Tabla1[[#This Row],[M3 '[g'] PESO CRISOL+MUESTRA (SECA)]]),ISBLANK(Tabla1[[#This Row],[M1 '[g']]]),ISBLANK(Tabla1[[#This Row],[M4 '[g']  PESO CRISOL + CENIZAS]])),"",Tabla1[[#This Row],[M3 '[g'] PESO CRISOL+MUESTRA (SECA)]]-Tabla1[[#This Row],[M1 '[g']]]-Tabla1[[#This Row],[M4 '[g']  PESO CRISOL + CENIZAS]])</f>
        <v>2.2300000000001319E-2</v>
      </c>
      <c r="L27" s="407">
        <f>IF(ISNUMBER(Tabla1[[#This Row],[%FIBRA TOTAL]]),Tabla1[[#This Row],[%FIBRA TOTAL]]*(100-Tabla1[[#This Row],[%Grasa y/o % humedad En la Muestra g/100g]])/100,"")</f>
        <v>1.4512840000000858E-2</v>
      </c>
      <c r="M27" s="393">
        <v>34.92</v>
      </c>
      <c r="N27" s="399" t="s">
        <v>1222</v>
      </c>
      <c r="O27" s="411" t="s">
        <v>1217</v>
      </c>
      <c r="P27" s="412" t="s">
        <v>1335</v>
      </c>
      <c r="Q27" s="413" t="s">
        <v>1328</v>
      </c>
      <c r="R27" s="414"/>
    </row>
    <row r="28" spans="1:18" ht="15.75" customHeight="1" x14ac:dyDescent="0.3">
      <c r="A28" s="397">
        <v>44224</v>
      </c>
      <c r="B28" s="398" t="s">
        <v>914</v>
      </c>
      <c r="C28" s="399" t="s">
        <v>1325</v>
      </c>
      <c r="D28" s="399" t="s">
        <v>1269</v>
      </c>
      <c r="E28" s="399">
        <v>0.26040000000000002</v>
      </c>
      <c r="F28" s="399">
        <v>1.0339</v>
      </c>
      <c r="G28" s="400">
        <v>23.6874</v>
      </c>
      <c r="H28" s="400">
        <v>23.407399999999999</v>
      </c>
      <c r="I28" s="400">
        <v>2.1000000000022112E-3</v>
      </c>
      <c r="J28" s="406">
        <f>IF(OR(ISBLANK(Tabla1[[#This Row],[M3 '[g'] PESO CRISOL+MUESTRA (SECA)]]),ISBLANK(Tabla1[[#This Row],[M1 '[g']]]),ISBLANK(Tabla1[[#This Row],[M4 '[g']  PESO CRISOL + CENIZAS]]),ISBLANK(Tabla1[[#This Row],[M5]])),"",Tabla1[[#This Row],[M3 '[g'] PESO CRISOL+MUESTRA (SECA)]]-Tabla1[[#This Row],[M1 '[g']]]-Tabla1[[#This Row],[M4 '[g']  PESO CRISOL + CENIZAS]]-Tabla1[[#This Row],[M5]])</f>
        <v>1.7499999999998295E-2</v>
      </c>
      <c r="K28" s="407">
        <f>IF(OR(ISBLANK(Tabla1[[#This Row],[M3 '[g'] PESO CRISOL+MUESTRA (SECA)]]),ISBLANK(Tabla1[[#This Row],[M1 '[g']]]),ISBLANK(Tabla1[[#This Row],[M4 '[g']  PESO CRISOL + CENIZAS]])),"",Tabla1[[#This Row],[M3 '[g'] PESO CRISOL+MUESTRA (SECA)]]-Tabla1[[#This Row],[M1 '[g']]]-Tabla1[[#This Row],[M4 '[g']  PESO CRISOL + CENIZAS]])</f>
        <v>1.9600000000000506E-2</v>
      </c>
      <c r="L28" s="407">
        <f>IF(ISNUMBER(Tabla1[[#This Row],[%FIBRA TOTAL]]),Tabla1[[#This Row],[%FIBRA TOTAL]]*(100-Tabla1[[#This Row],[%Grasa y/o % humedad En la Muestra g/100g]])/100,"")</f>
        <v>1.275568000000033E-2</v>
      </c>
      <c r="M28" s="393">
        <v>34.92</v>
      </c>
      <c r="N28" s="399" t="s">
        <v>1222</v>
      </c>
      <c r="O28" s="411" t="s">
        <v>1217</v>
      </c>
      <c r="P28" s="412" t="s">
        <v>1335</v>
      </c>
      <c r="Q28" s="413" t="s">
        <v>1328</v>
      </c>
      <c r="R28" s="414"/>
    </row>
    <row r="29" spans="1:18" ht="15.75" customHeight="1" x14ac:dyDescent="0.3">
      <c r="A29" s="397">
        <v>44224</v>
      </c>
      <c r="B29" s="398" t="s">
        <v>914</v>
      </c>
      <c r="C29" s="399" t="s">
        <v>1327</v>
      </c>
      <c r="D29" s="399" t="s">
        <v>1271</v>
      </c>
      <c r="E29" s="399">
        <v>0.26050000000000001</v>
      </c>
      <c r="F29" s="399">
        <v>1.0078</v>
      </c>
      <c r="G29" s="400">
        <v>21.559799999999999</v>
      </c>
      <c r="H29" s="400">
        <v>21.277100000000001</v>
      </c>
      <c r="I29" s="400">
        <v>2.1000000000022112E-3</v>
      </c>
      <c r="J29" s="406">
        <f>IF(OR(ISBLANK(Tabla1[[#This Row],[M3 '[g'] PESO CRISOL+MUESTRA (SECA)]]),ISBLANK(Tabla1[[#This Row],[M1 '[g']]]),ISBLANK(Tabla1[[#This Row],[M4 '[g']  PESO CRISOL + CENIZAS]]),ISBLANK(Tabla1[[#This Row],[M5]])),"",Tabla1[[#This Row],[M3 '[g'] PESO CRISOL+MUESTRA (SECA)]]-Tabla1[[#This Row],[M1 '[g']]]-Tabla1[[#This Row],[M4 '[g']  PESO CRISOL + CENIZAS]]-Tabla1[[#This Row],[M5]])</f>
        <v>2.0099999999995788E-2</v>
      </c>
      <c r="K29" s="407">
        <f>IF(OR(ISBLANK(Tabla1[[#This Row],[M3 '[g'] PESO CRISOL+MUESTRA (SECA)]]),ISBLANK(Tabla1[[#This Row],[M1 '[g']]]),ISBLANK(Tabla1[[#This Row],[M4 '[g']  PESO CRISOL + CENIZAS]])),"",Tabla1[[#This Row],[M3 '[g'] PESO CRISOL+MUESTRA (SECA)]]-Tabla1[[#This Row],[M1 '[g']]]-Tabla1[[#This Row],[M4 '[g']  PESO CRISOL + CENIZAS]])</f>
        <v>2.2199999999997999E-2</v>
      </c>
      <c r="L29" s="407">
        <f>IF(ISNUMBER(Tabla1[[#This Row],[%FIBRA TOTAL]]),Tabla1[[#This Row],[%FIBRA TOTAL]]*(100-Tabla1[[#This Row],[%Grasa y/o % humedad En la Muestra g/100g]])/100,"")</f>
        <v>1.099565999999901E-2</v>
      </c>
      <c r="M29" s="393">
        <v>50.47</v>
      </c>
      <c r="N29" s="399" t="s">
        <v>1222</v>
      </c>
      <c r="O29" s="411" t="s">
        <v>1217</v>
      </c>
      <c r="P29" s="412" t="s">
        <v>1335</v>
      </c>
      <c r="Q29" s="413" t="s">
        <v>1328</v>
      </c>
      <c r="R29" s="414"/>
    </row>
    <row r="30" spans="1:18" ht="15.75" customHeight="1" x14ac:dyDescent="0.3">
      <c r="A30" s="397">
        <v>44224</v>
      </c>
      <c r="B30" s="398" t="s">
        <v>914</v>
      </c>
      <c r="C30" s="399" t="s">
        <v>1327</v>
      </c>
      <c r="D30" s="399" t="s">
        <v>1269</v>
      </c>
      <c r="E30" s="399">
        <v>0.26040000000000002</v>
      </c>
      <c r="F30" s="399">
        <v>1.0576000000000001</v>
      </c>
      <c r="G30" s="400">
        <v>25.930599999999998</v>
      </c>
      <c r="H30" s="400">
        <v>25.6418</v>
      </c>
      <c r="I30" s="400">
        <v>2.1000000000022112E-3</v>
      </c>
      <c r="J30" s="406">
        <f>IF(OR(ISBLANK(Tabla1[[#This Row],[M3 '[g'] PESO CRISOL+MUESTRA (SECA)]]),ISBLANK(Tabla1[[#This Row],[M1 '[g']]]),ISBLANK(Tabla1[[#This Row],[M4 '[g']  PESO CRISOL + CENIZAS]]),ISBLANK(Tabla1[[#This Row],[M5]])),"",Tabla1[[#This Row],[M3 '[g'] PESO CRISOL+MUESTRA (SECA)]]-Tabla1[[#This Row],[M1 '[g']]]-Tabla1[[#This Row],[M4 '[g']  PESO CRISOL + CENIZAS]]-Tabla1[[#This Row],[M5]])</f>
        <v>2.6299999999995549E-2</v>
      </c>
      <c r="K30" s="407">
        <f>IF(OR(ISBLANK(Tabla1[[#This Row],[M3 '[g'] PESO CRISOL+MUESTRA (SECA)]]),ISBLANK(Tabla1[[#This Row],[M1 '[g']]]),ISBLANK(Tabla1[[#This Row],[M4 '[g']  PESO CRISOL + CENIZAS]])),"",Tabla1[[#This Row],[M3 '[g'] PESO CRISOL+MUESTRA (SECA)]]-Tabla1[[#This Row],[M1 '[g']]]-Tabla1[[#This Row],[M4 '[g']  PESO CRISOL + CENIZAS]])</f>
        <v>2.839999999999776E-2</v>
      </c>
      <c r="L30" s="407">
        <f>IF(ISNUMBER(Tabla1[[#This Row],[%FIBRA TOTAL]]),Tabla1[[#This Row],[%FIBRA TOTAL]]*(100-Tabla1[[#This Row],[%Grasa y/o % humedad En la Muestra g/100g]])/100,"")</f>
        <v>1.4066519999998892E-2</v>
      </c>
      <c r="M30" s="393">
        <v>50.47</v>
      </c>
      <c r="N30" s="399" t="s">
        <v>1222</v>
      </c>
      <c r="O30" s="411" t="s">
        <v>1217</v>
      </c>
      <c r="P30" s="412" t="s">
        <v>1335</v>
      </c>
      <c r="Q30" s="413" t="s">
        <v>1328</v>
      </c>
      <c r="R30" s="414"/>
    </row>
    <row r="31" spans="1:18" ht="15.75" customHeight="1" x14ac:dyDescent="0.3">
      <c r="A31" s="397">
        <v>44238</v>
      </c>
      <c r="B31" s="398" t="s">
        <v>905</v>
      </c>
      <c r="C31" s="399" t="s">
        <v>1223</v>
      </c>
      <c r="D31" s="399" t="s">
        <v>1271</v>
      </c>
      <c r="E31" s="399">
        <v>0.26019999999999999</v>
      </c>
      <c r="F31" s="399">
        <v>1.0041</v>
      </c>
      <c r="G31" s="400">
        <v>25.9346</v>
      </c>
      <c r="H31" s="400">
        <v>25.242799999999999</v>
      </c>
      <c r="I31" s="400">
        <v>2.1000000000022112E-3</v>
      </c>
      <c r="J31" s="406">
        <f>IF(OR(ISBLANK(Tabla1[[#This Row],[M3 '[g'] PESO CRISOL+MUESTRA (SECA)]]),ISBLANK(Tabla1[[#This Row],[M1 '[g']]]),ISBLANK(Tabla1[[#This Row],[M4 '[g']  PESO CRISOL + CENIZAS]]),ISBLANK(Tabla1[[#This Row],[M5]])),"",Tabla1[[#This Row],[M3 '[g'] PESO CRISOL+MUESTRA (SECA)]]-Tabla1[[#This Row],[M1 '[g']]]-Tabla1[[#This Row],[M4 '[g']  PESO CRISOL + CENIZAS]]-Tabla1[[#This Row],[M5]])</f>
        <v>0.42949999999999733</v>
      </c>
      <c r="K31" s="407">
        <f>IF(OR(ISBLANK(Tabla1[[#This Row],[M3 '[g'] PESO CRISOL+MUESTRA (SECA)]]),ISBLANK(Tabla1[[#This Row],[M1 '[g']]]),ISBLANK(Tabla1[[#This Row],[M4 '[g']  PESO CRISOL + CENIZAS]])),"",Tabla1[[#This Row],[M3 '[g'] PESO CRISOL+MUESTRA (SECA)]]-Tabla1[[#This Row],[M1 '[g']]]-Tabla1[[#This Row],[M4 '[g']  PESO CRISOL + CENIZAS]])</f>
        <v>0.43159999999999954</v>
      </c>
      <c r="L31" s="407">
        <f>IF(ISNUMBER(Tabla1[[#This Row],[%FIBRA TOTAL]]),Tabla1[[#This Row],[%FIBRA TOTAL]]*(100-Tabla1[[#This Row],[%Grasa y/o % humedad En la Muestra g/100g]])/100,"")</f>
        <v>4.6914919999999964E-2</v>
      </c>
      <c r="M31" s="393">
        <v>89.13</v>
      </c>
      <c r="N31" s="399" t="s">
        <v>1222</v>
      </c>
      <c r="O31" s="411" t="s">
        <v>1217</v>
      </c>
      <c r="P31" s="412" t="s">
        <v>1335</v>
      </c>
      <c r="Q31" s="413" t="s">
        <v>1225</v>
      </c>
      <c r="R31" s="414"/>
    </row>
    <row r="32" spans="1:18" ht="15.75" customHeight="1" x14ac:dyDescent="0.3">
      <c r="A32" s="397">
        <v>44238</v>
      </c>
      <c r="B32" s="398" t="s">
        <v>905</v>
      </c>
      <c r="C32" s="399" t="s">
        <v>1223</v>
      </c>
      <c r="D32" s="399" t="s">
        <v>1269</v>
      </c>
      <c r="E32" s="399">
        <v>0.26069999999999999</v>
      </c>
      <c r="F32" s="399">
        <v>1.0061</v>
      </c>
      <c r="G32" s="400">
        <v>26.0259</v>
      </c>
      <c r="H32" s="400">
        <v>25.720199999999998</v>
      </c>
      <c r="I32" s="400">
        <v>2.1000000000022112E-3</v>
      </c>
      <c r="J32" s="406">
        <f>IF(OR(ISBLANK(Tabla1[[#This Row],[M3 '[g'] PESO CRISOL+MUESTRA (SECA)]]),ISBLANK(Tabla1[[#This Row],[M1 '[g']]]),ISBLANK(Tabla1[[#This Row],[M4 '[g']  PESO CRISOL + CENIZAS]]),ISBLANK(Tabla1[[#This Row],[M5]])),"",Tabla1[[#This Row],[M3 '[g'] PESO CRISOL+MUESTRA (SECA)]]-Tabla1[[#This Row],[M1 '[g']]]-Tabla1[[#This Row],[M4 '[g']  PESO CRISOL + CENIZAS]]-Tabla1[[#This Row],[M5]])</f>
        <v>4.2899999999999494E-2</v>
      </c>
      <c r="K32" s="407">
        <f>IF(OR(ISBLANK(Tabla1[[#This Row],[M3 '[g'] PESO CRISOL+MUESTRA (SECA)]]),ISBLANK(Tabla1[[#This Row],[M1 '[g']]]),ISBLANK(Tabla1[[#This Row],[M4 '[g']  PESO CRISOL + CENIZAS]])),"",Tabla1[[#This Row],[M3 '[g'] PESO CRISOL+MUESTRA (SECA)]]-Tabla1[[#This Row],[M1 '[g']]]-Tabla1[[#This Row],[M4 '[g']  PESO CRISOL + CENIZAS]])</f>
        <v>4.5000000000001705E-2</v>
      </c>
      <c r="L32" s="407">
        <f>IF(ISNUMBER(Tabla1[[#This Row],[%FIBRA TOTAL]]),Tabla1[[#This Row],[%FIBRA TOTAL]]*(100-Tabla1[[#This Row],[%Grasa y/o % humedad En la Muestra g/100g]])/100,"")</f>
        <v>4.8915000000001874E-3</v>
      </c>
      <c r="M32" s="393">
        <v>89.13</v>
      </c>
      <c r="N32" s="399" t="s">
        <v>1222</v>
      </c>
      <c r="O32" s="411" t="s">
        <v>1217</v>
      </c>
      <c r="P32" s="412" t="s">
        <v>1335</v>
      </c>
      <c r="Q32" s="413" t="s">
        <v>1225</v>
      </c>
      <c r="R32" s="414"/>
    </row>
    <row r="33" spans="1:18" ht="15.75" customHeight="1" x14ac:dyDescent="0.3">
      <c r="A33" s="397">
        <v>44238</v>
      </c>
      <c r="B33" s="398" t="s">
        <v>905</v>
      </c>
      <c r="C33" s="399" t="s">
        <v>1224</v>
      </c>
      <c r="D33" s="399" t="s">
        <v>1271</v>
      </c>
      <c r="E33" s="399">
        <v>0.25950000000000001</v>
      </c>
      <c r="F33" s="399">
        <v>1.0025999999999999</v>
      </c>
      <c r="G33" s="400">
        <v>21.395900000000001</v>
      </c>
      <c r="H33" s="400">
        <v>21.0961</v>
      </c>
      <c r="I33" s="400">
        <v>2.1000000000022112E-3</v>
      </c>
      <c r="J33" s="406">
        <f>IF(OR(ISBLANK(Tabla1[[#This Row],[M3 '[g'] PESO CRISOL+MUESTRA (SECA)]]),ISBLANK(Tabla1[[#This Row],[M1 '[g']]]),ISBLANK(Tabla1[[#This Row],[M4 '[g']  PESO CRISOL + CENIZAS]]),ISBLANK(Tabla1[[#This Row],[M5]])),"",Tabla1[[#This Row],[M3 '[g'] PESO CRISOL+MUESTRA (SECA)]]-Tabla1[[#This Row],[M1 '[g']]]-Tabla1[[#This Row],[M4 '[g']  PESO CRISOL + CENIZAS]]-Tabla1[[#This Row],[M5]])</f>
        <v>3.819999999999979E-2</v>
      </c>
      <c r="K33" s="407">
        <f>IF(OR(ISBLANK(Tabla1[[#This Row],[M3 '[g'] PESO CRISOL+MUESTRA (SECA)]]),ISBLANK(Tabla1[[#This Row],[M1 '[g']]]),ISBLANK(Tabla1[[#This Row],[M4 '[g']  PESO CRISOL + CENIZAS]])),"",Tabla1[[#This Row],[M3 '[g'] PESO CRISOL+MUESTRA (SECA)]]-Tabla1[[#This Row],[M1 '[g']]]-Tabla1[[#This Row],[M4 '[g']  PESO CRISOL + CENIZAS]])</f>
        <v>4.0300000000002001E-2</v>
      </c>
      <c r="L33" s="407">
        <f>IF(ISNUMBER(Tabla1[[#This Row],[%FIBRA TOTAL]]),Tabla1[[#This Row],[%FIBRA TOTAL]]*(100-Tabla1[[#This Row],[%Grasa y/o % humedad En la Muestra g/100g]])/100,"")</f>
        <v>4.5901700000002283E-3</v>
      </c>
      <c r="M33" s="393">
        <v>88.61</v>
      </c>
      <c r="N33" s="399" t="s">
        <v>1222</v>
      </c>
      <c r="O33" s="411" t="s">
        <v>1217</v>
      </c>
      <c r="P33" s="412" t="s">
        <v>1335</v>
      </c>
      <c r="Q33" s="413" t="s">
        <v>1225</v>
      </c>
      <c r="R33" s="414"/>
    </row>
    <row r="34" spans="1:18" ht="15.75" customHeight="1" x14ac:dyDescent="0.3">
      <c r="A34" s="397">
        <v>44238</v>
      </c>
      <c r="B34" s="398" t="s">
        <v>905</v>
      </c>
      <c r="C34" s="399" t="s">
        <v>1224</v>
      </c>
      <c r="D34" s="399" t="s">
        <v>1269</v>
      </c>
      <c r="E34" s="399">
        <v>0.2601</v>
      </c>
      <c r="F34" s="399">
        <v>1.0063</v>
      </c>
      <c r="G34" s="400">
        <v>25.913799999999998</v>
      </c>
      <c r="H34" s="400">
        <v>25.6096</v>
      </c>
      <c r="I34" s="400">
        <v>2.1000000000022112E-3</v>
      </c>
      <c r="J34" s="406">
        <f>IF(OR(ISBLANK(Tabla1[[#This Row],[M3 '[g'] PESO CRISOL+MUESTRA (SECA)]]),ISBLANK(Tabla1[[#This Row],[M1 '[g']]]),ISBLANK(Tabla1[[#This Row],[M4 '[g']  PESO CRISOL + CENIZAS]]),ISBLANK(Tabla1[[#This Row],[M5]])),"",Tabla1[[#This Row],[M3 '[g'] PESO CRISOL+MUESTRA (SECA)]]-Tabla1[[#This Row],[M1 '[g']]]-Tabla1[[#This Row],[M4 '[g']  PESO CRISOL + CENIZAS]]-Tabla1[[#This Row],[M5]])</f>
        <v>4.1999999999994486E-2</v>
      </c>
      <c r="K34" s="407">
        <f>IF(OR(ISBLANK(Tabla1[[#This Row],[M3 '[g'] PESO CRISOL+MUESTRA (SECA)]]),ISBLANK(Tabla1[[#This Row],[M1 '[g']]]),ISBLANK(Tabla1[[#This Row],[M4 '[g']  PESO CRISOL + CENIZAS]])),"",Tabla1[[#This Row],[M3 '[g'] PESO CRISOL+MUESTRA (SECA)]]-Tabla1[[#This Row],[M1 '[g']]]-Tabla1[[#This Row],[M4 '[g']  PESO CRISOL + CENIZAS]])</f>
        <v>4.4099999999996697E-2</v>
      </c>
      <c r="L34" s="407">
        <f>IF(ISNUMBER(Tabla1[[#This Row],[%FIBRA TOTAL]]),Tabla1[[#This Row],[%FIBRA TOTAL]]*(100-Tabla1[[#This Row],[%Grasa y/o % humedad En la Muestra g/100g]])/100,"")</f>
        <v>5.0229899999996242E-3</v>
      </c>
      <c r="M34" s="393">
        <v>88.61</v>
      </c>
      <c r="N34" s="399" t="s">
        <v>1222</v>
      </c>
      <c r="O34" s="411" t="s">
        <v>1217</v>
      </c>
      <c r="P34" s="412" t="s">
        <v>1335</v>
      </c>
      <c r="Q34" s="413" t="s">
        <v>1225</v>
      </c>
      <c r="R34" s="414"/>
    </row>
    <row r="35" spans="1:18" ht="15.75" customHeight="1" x14ac:dyDescent="0.3">
      <c r="A35" s="397">
        <v>44257</v>
      </c>
      <c r="B35" s="398" t="s">
        <v>900</v>
      </c>
      <c r="C35" s="399" t="s">
        <v>1227</v>
      </c>
      <c r="D35" s="399" t="s">
        <v>1271</v>
      </c>
      <c r="E35" s="399">
        <v>0.25790000000000002</v>
      </c>
      <c r="F35" s="399">
        <v>1.0387999999999999</v>
      </c>
      <c r="G35" s="400">
        <v>21.619299999999999</v>
      </c>
      <c r="H35" s="400">
        <v>21.184799999999999</v>
      </c>
      <c r="I35" s="400">
        <v>2.1000000000022112E-3</v>
      </c>
      <c r="J35" s="406">
        <f>IF(OR(ISBLANK(Tabla1[[#This Row],[M3 '[g'] PESO CRISOL+MUESTRA (SECA)]]),ISBLANK(Tabla1[[#This Row],[M1 '[g']]]),ISBLANK(Tabla1[[#This Row],[M4 '[g']  PESO CRISOL + CENIZAS]]),ISBLANK(Tabla1[[#This Row],[M5]])),"",Tabla1[[#This Row],[M3 '[g'] PESO CRISOL+MUESTRA (SECA)]]-Tabla1[[#This Row],[M1 '[g']]]-Tabla1[[#This Row],[M4 '[g']  PESO CRISOL + CENIZAS]]-Tabla1[[#This Row],[M5]])</f>
        <v>0.17449999999999832</v>
      </c>
      <c r="K35" s="407">
        <f>IF(OR(ISBLANK(Tabla1[[#This Row],[M3 '[g'] PESO CRISOL+MUESTRA (SECA)]]),ISBLANK(Tabla1[[#This Row],[M1 '[g']]]),ISBLANK(Tabla1[[#This Row],[M4 '[g']  PESO CRISOL + CENIZAS]])),"",Tabla1[[#This Row],[M3 '[g'] PESO CRISOL+MUESTRA (SECA)]]-Tabla1[[#This Row],[M1 '[g']]]-Tabla1[[#This Row],[M4 '[g']  PESO CRISOL + CENIZAS]])</f>
        <v>0.17660000000000053</v>
      </c>
      <c r="L35" s="407">
        <f>IF(ISNUMBER(Tabla1[[#This Row],[%FIBRA TOTAL]]),Tabla1[[#This Row],[%FIBRA TOTAL]]*(100-Tabla1[[#This Row],[%Grasa y/o % humedad En la Muestra g/100g]])/100,"")</f>
        <v>2.7567260000000083E-2</v>
      </c>
      <c r="M35" s="393">
        <v>84.39</v>
      </c>
      <c r="N35" s="399" t="s">
        <v>1222</v>
      </c>
      <c r="O35" s="411" t="s">
        <v>1217</v>
      </c>
      <c r="P35" s="412" t="s">
        <v>1335</v>
      </c>
      <c r="Q35" s="413" t="s">
        <v>1228</v>
      </c>
      <c r="R35" s="414"/>
    </row>
    <row r="36" spans="1:18" ht="15.75" customHeight="1" x14ac:dyDescent="0.3">
      <c r="A36" s="397">
        <v>44257</v>
      </c>
      <c r="B36" s="398" t="s">
        <v>900</v>
      </c>
      <c r="C36" s="399" t="s">
        <v>1227</v>
      </c>
      <c r="D36" s="399" t="s">
        <v>1269</v>
      </c>
      <c r="E36" s="399">
        <v>0.25919999999999999</v>
      </c>
      <c r="F36" s="399">
        <v>1.0612999999999999</v>
      </c>
      <c r="G36" s="400">
        <v>26.232500000000002</v>
      </c>
      <c r="H36" s="400">
        <v>25.797999999999998</v>
      </c>
      <c r="I36" s="400">
        <v>2.1000000000022112E-3</v>
      </c>
      <c r="J36" s="406">
        <f>IF(OR(ISBLANK(Tabla1[[#This Row],[M3 '[g'] PESO CRISOL+MUESTRA (SECA)]]),ISBLANK(Tabla1[[#This Row],[M1 '[g']]]),ISBLANK(Tabla1[[#This Row],[M4 '[g']  PESO CRISOL + CENIZAS]]),ISBLANK(Tabla1[[#This Row],[M5]])),"",Tabla1[[#This Row],[M3 '[g'] PESO CRISOL+MUESTRA (SECA)]]-Tabla1[[#This Row],[M1 '[g']]]-Tabla1[[#This Row],[M4 '[g']  PESO CRISOL + CENIZAS]]-Tabla1[[#This Row],[M5]])</f>
        <v>0.17320000000000135</v>
      </c>
      <c r="K36" s="407">
        <f>IF(OR(ISBLANK(Tabla1[[#This Row],[M3 '[g'] PESO CRISOL+MUESTRA (SECA)]]),ISBLANK(Tabla1[[#This Row],[M1 '[g']]]),ISBLANK(Tabla1[[#This Row],[M4 '[g']  PESO CRISOL + CENIZAS]])),"",Tabla1[[#This Row],[M3 '[g'] PESO CRISOL+MUESTRA (SECA)]]-Tabla1[[#This Row],[M1 '[g']]]-Tabla1[[#This Row],[M4 '[g']  PESO CRISOL + CENIZAS]])</f>
        <v>0.17530000000000356</v>
      </c>
      <c r="L36" s="407">
        <f>IF(ISNUMBER(Tabla1[[#This Row],[%FIBRA TOTAL]]),Tabla1[[#This Row],[%FIBRA TOTAL]]*(100-Tabla1[[#This Row],[%Grasa y/o % humedad En la Muestra g/100g]])/100,"")</f>
        <v>2.7364330000000554E-2</v>
      </c>
      <c r="M36" s="393">
        <v>84.39</v>
      </c>
      <c r="N36" s="399" t="s">
        <v>1222</v>
      </c>
      <c r="O36" s="411" t="s">
        <v>1217</v>
      </c>
      <c r="P36" s="412" t="s">
        <v>1335</v>
      </c>
      <c r="Q36" s="413" t="s">
        <v>1228</v>
      </c>
      <c r="R36" s="414"/>
    </row>
    <row r="37" spans="1:18" ht="15.75" customHeight="1" x14ac:dyDescent="0.3">
      <c r="A37" s="397">
        <v>44257</v>
      </c>
      <c r="B37" s="398" t="s">
        <v>901</v>
      </c>
      <c r="C37" s="399" t="s">
        <v>1226</v>
      </c>
      <c r="D37" s="399" t="s">
        <v>1271</v>
      </c>
      <c r="E37" s="399">
        <v>0.26079999999999998</v>
      </c>
      <c r="F37" s="399">
        <v>1.0654999999999999</v>
      </c>
      <c r="G37" s="400">
        <v>26.0031</v>
      </c>
      <c r="H37" s="400">
        <v>25.646000000000001</v>
      </c>
      <c r="I37" s="400">
        <v>2.1000000000022112E-3</v>
      </c>
      <c r="J37" s="406">
        <f>IF(OR(ISBLANK(Tabla1[[#This Row],[M3 '[g'] PESO CRISOL+MUESTRA (SECA)]]),ISBLANK(Tabla1[[#This Row],[M1 '[g']]]),ISBLANK(Tabla1[[#This Row],[M4 '[g']  PESO CRISOL + CENIZAS]]),ISBLANK(Tabla1[[#This Row],[M5]])),"",Tabla1[[#This Row],[M3 '[g'] PESO CRISOL+MUESTRA (SECA)]]-Tabla1[[#This Row],[M1 '[g']]]-Tabla1[[#This Row],[M4 '[g']  PESO CRISOL + CENIZAS]]-Tabla1[[#This Row],[M5]])</f>
        <v>9.4199999999997175E-2</v>
      </c>
      <c r="K37" s="407">
        <f>IF(OR(ISBLANK(Tabla1[[#This Row],[M3 '[g'] PESO CRISOL+MUESTRA (SECA)]]),ISBLANK(Tabla1[[#This Row],[M1 '[g']]]),ISBLANK(Tabla1[[#This Row],[M4 '[g']  PESO CRISOL + CENIZAS]])),"",Tabla1[[#This Row],[M3 '[g'] PESO CRISOL+MUESTRA (SECA)]]-Tabla1[[#This Row],[M1 '[g']]]-Tabla1[[#This Row],[M4 '[g']  PESO CRISOL + CENIZAS]])</f>
        <v>9.6299999999999386E-2</v>
      </c>
      <c r="L37" s="407">
        <f>IF(ISNUMBER(Tabla1[[#This Row],[%FIBRA TOTAL]]),Tabla1[[#This Row],[%FIBRA TOTAL]]*(100-Tabla1[[#This Row],[%Grasa y/o % humedad En la Muestra g/100g]])/100,"")</f>
        <v>8.8326359999999438E-2</v>
      </c>
      <c r="M37" s="393">
        <v>8.2799999999999994</v>
      </c>
      <c r="N37" s="399" t="s">
        <v>1222</v>
      </c>
      <c r="O37" s="411" t="s">
        <v>1217</v>
      </c>
      <c r="P37" s="412" t="s">
        <v>1335</v>
      </c>
      <c r="Q37" s="413" t="s">
        <v>1228</v>
      </c>
      <c r="R37" s="414"/>
    </row>
    <row r="38" spans="1:18" ht="15.75" customHeight="1" x14ac:dyDescent="0.3">
      <c r="A38" s="397">
        <v>44257</v>
      </c>
      <c r="B38" s="398" t="s">
        <v>901</v>
      </c>
      <c r="C38" s="399" t="s">
        <v>1226</v>
      </c>
      <c r="D38" s="399" t="s">
        <v>1269</v>
      </c>
      <c r="E38" s="399">
        <v>0.25800000000000001</v>
      </c>
      <c r="F38" s="399">
        <v>1.0389999999999999</v>
      </c>
      <c r="G38" s="400">
        <v>22.457000000000001</v>
      </c>
      <c r="H38" s="400">
        <v>22.103100000000001</v>
      </c>
      <c r="I38" s="400">
        <v>2.1000000000022112E-3</v>
      </c>
      <c r="J38" s="406">
        <f>IF(OR(ISBLANK(Tabla1[[#This Row],[M3 '[g'] PESO CRISOL+MUESTRA (SECA)]]),ISBLANK(Tabla1[[#This Row],[M1 '[g']]]),ISBLANK(Tabla1[[#This Row],[M4 '[g']  PESO CRISOL + CENIZAS]]),ISBLANK(Tabla1[[#This Row],[M5]])),"",Tabla1[[#This Row],[M3 '[g'] PESO CRISOL+MUESTRA (SECA)]]-Tabla1[[#This Row],[M1 '[g']]]-Tabla1[[#This Row],[M4 '[g']  PESO CRISOL + CENIZAS]]-Tabla1[[#This Row],[M5]])</f>
        <v>9.3799999999998107E-2</v>
      </c>
      <c r="K38" s="407">
        <f>IF(OR(ISBLANK(Tabla1[[#This Row],[M3 '[g'] PESO CRISOL+MUESTRA (SECA)]]),ISBLANK(Tabla1[[#This Row],[M1 '[g']]]),ISBLANK(Tabla1[[#This Row],[M4 '[g']  PESO CRISOL + CENIZAS]])),"",Tabla1[[#This Row],[M3 '[g'] PESO CRISOL+MUESTRA (SECA)]]-Tabla1[[#This Row],[M1 '[g']]]-Tabla1[[#This Row],[M4 '[g']  PESO CRISOL + CENIZAS]])</f>
        <v>9.5900000000000318E-2</v>
      </c>
      <c r="L38" s="407">
        <f>IF(ISNUMBER(Tabla1[[#This Row],[%FIBRA TOTAL]]),Tabla1[[#This Row],[%FIBRA TOTAL]]*(100-Tabla1[[#This Row],[%Grasa y/o % humedad En la Muestra g/100g]])/100,"")</f>
        <v>8.7959480000000298E-2</v>
      </c>
      <c r="M38" s="393">
        <v>8.2799999999999994</v>
      </c>
      <c r="N38" s="399" t="s">
        <v>1222</v>
      </c>
      <c r="O38" s="411" t="s">
        <v>1217</v>
      </c>
      <c r="P38" s="412" t="s">
        <v>1335</v>
      </c>
      <c r="Q38" s="413" t="s">
        <v>1228</v>
      </c>
      <c r="R38" s="414"/>
    </row>
    <row r="39" spans="1:18" ht="15.75" customHeight="1" x14ac:dyDescent="0.3">
      <c r="A39" s="397">
        <v>44268</v>
      </c>
      <c r="B39" s="398" t="s">
        <v>905</v>
      </c>
      <c r="C39" s="399" t="s">
        <v>1229</v>
      </c>
      <c r="D39" s="399" t="s">
        <v>1271</v>
      </c>
      <c r="E39" s="399">
        <v>0.26040000000000002</v>
      </c>
      <c r="F39" s="399">
        <v>1</v>
      </c>
      <c r="G39" s="400">
        <v>25.118600000000001</v>
      </c>
      <c r="H39" s="400">
        <v>24.8215</v>
      </c>
      <c r="I39" s="400">
        <v>2.1000000000022112E-3</v>
      </c>
      <c r="J39" s="406">
        <f>IF(OR(ISBLANK(Tabla1[[#This Row],[M3 '[g'] PESO CRISOL+MUESTRA (SECA)]]),ISBLANK(Tabla1[[#This Row],[M1 '[g']]]),ISBLANK(Tabla1[[#This Row],[M4 '[g']  PESO CRISOL + CENIZAS]]),ISBLANK(Tabla1[[#This Row],[M5]])),"",Tabla1[[#This Row],[M3 '[g'] PESO CRISOL+MUESTRA (SECA)]]-Tabla1[[#This Row],[M1 '[g']]]-Tabla1[[#This Row],[M4 '[g']  PESO CRISOL + CENIZAS]]-Tabla1[[#This Row],[M5]])</f>
        <v>3.4599999999997522E-2</v>
      </c>
      <c r="K39" s="407">
        <f>IF(OR(ISBLANK(Tabla1[[#This Row],[M3 '[g'] PESO CRISOL+MUESTRA (SECA)]]),ISBLANK(Tabla1[[#This Row],[M1 '[g']]]),ISBLANK(Tabla1[[#This Row],[M4 '[g']  PESO CRISOL + CENIZAS]])),"",Tabla1[[#This Row],[M3 '[g'] PESO CRISOL+MUESTRA (SECA)]]-Tabla1[[#This Row],[M1 '[g']]]-Tabla1[[#This Row],[M4 '[g']  PESO CRISOL + CENIZAS]])</f>
        <v>3.6699999999999733E-2</v>
      </c>
      <c r="L39" s="407">
        <f>IF(ISNUMBER(Tabla1[[#This Row],[%FIBRA TOTAL]]),Tabla1[[#This Row],[%FIBRA TOTAL]]*(100-Tabla1[[#This Row],[%Grasa y/o % humedad En la Muestra g/100g]])/100,"")</f>
        <v>4.0626899999999678E-3</v>
      </c>
      <c r="M39" s="393">
        <v>88.93</v>
      </c>
      <c r="N39" s="399" t="s">
        <v>1230</v>
      </c>
      <c r="O39" s="411" t="s">
        <v>1217</v>
      </c>
      <c r="P39" s="412" t="s">
        <v>1335</v>
      </c>
      <c r="Q39" s="413" t="s">
        <v>1233</v>
      </c>
      <c r="R39" s="414"/>
    </row>
    <row r="40" spans="1:18" ht="15.75" customHeight="1" x14ac:dyDescent="0.3">
      <c r="A40" s="397">
        <v>44268</v>
      </c>
      <c r="B40" s="398" t="s">
        <v>905</v>
      </c>
      <c r="C40" s="399" t="s">
        <v>1229</v>
      </c>
      <c r="D40" s="399" t="s">
        <v>1269</v>
      </c>
      <c r="E40" s="399">
        <v>0.26200000000000001</v>
      </c>
      <c r="F40" s="399">
        <v>1.0003</v>
      </c>
      <c r="G40" s="400">
        <v>25.629799999999999</v>
      </c>
      <c r="H40" s="400">
        <v>25.3339</v>
      </c>
      <c r="I40" s="400">
        <v>2.1000000000022112E-3</v>
      </c>
      <c r="J40" s="406">
        <f>IF(OR(ISBLANK(Tabla1[[#This Row],[M3 '[g'] PESO CRISOL+MUESTRA (SECA)]]),ISBLANK(Tabla1[[#This Row],[M1 '[g']]]),ISBLANK(Tabla1[[#This Row],[M4 '[g']  PESO CRISOL + CENIZAS]]),ISBLANK(Tabla1[[#This Row],[M5]])),"",Tabla1[[#This Row],[M3 '[g'] PESO CRISOL+MUESTRA (SECA)]]-Tabla1[[#This Row],[M1 '[g']]]-Tabla1[[#This Row],[M4 '[g']  PESO CRISOL + CENIZAS]]-Tabla1[[#This Row],[M5]])</f>
        <v>3.1799999999996942E-2</v>
      </c>
      <c r="K40" s="407">
        <f>IF(OR(ISBLANK(Tabla1[[#This Row],[M3 '[g'] PESO CRISOL+MUESTRA (SECA)]]),ISBLANK(Tabla1[[#This Row],[M1 '[g']]]),ISBLANK(Tabla1[[#This Row],[M4 '[g']  PESO CRISOL + CENIZAS]])),"",Tabla1[[#This Row],[M3 '[g'] PESO CRISOL+MUESTRA (SECA)]]-Tabla1[[#This Row],[M1 '[g']]]-Tabla1[[#This Row],[M4 '[g']  PESO CRISOL + CENIZAS]])</f>
        <v>3.3899999999999153E-2</v>
      </c>
      <c r="L40" s="407">
        <f>IF(ISNUMBER(Tabla1[[#This Row],[%FIBRA TOTAL]]),Tabla1[[#This Row],[%FIBRA TOTAL]]*(100-Tabla1[[#This Row],[%Grasa y/o % humedad En la Muestra g/100g]])/100,"")</f>
        <v>3.7527299999999043E-3</v>
      </c>
      <c r="M40" s="393">
        <v>88.93</v>
      </c>
      <c r="N40" s="399" t="s">
        <v>1231</v>
      </c>
      <c r="O40" s="411" t="s">
        <v>1217</v>
      </c>
      <c r="P40" s="412" t="s">
        <v>1335</v>
      </c>
      <c r="Q40" s="413" t="s">
        <v>1233</v>
      </c>
      <c r="R40" s="414"/>
    </row>
    <row r="41" spans="1:18" ht="15.75" customHeight="1" x14ac:dyDescent="0.3">
      <c r="A41" s="397">
        <v>44268</v>
      </c>
      <c r="B41" s="398" t="s">
        <v>905</v>
      </c>
      <c r="C41" s="399" t="s">
        <v>1232</v>
      </c>
      <c r="D41" s="399" t="s">
        <v>1271</v>
      </c>
      <c r="E41" s="399">
        <v>0.25950000000000001</v>
      </c>
      <c r="F41" s="399">
        <v>1.0032000000000001</v>
      </c>
      <c r="G41" s="400">
        <v>26.2685</v>
      </c>
      <c r="H41" s="400">
        <v>25.987300000000001</v>
      </c>
      <c r="I41" s="400">
        <v>2.1000000000022112E-3</v>
      </c>
      <c r="J41" s="406">
        <f>IF(OR(ISBLANK(Tabla1[[#This Row],[M3 '[g'] PESO CRISOL+MUESTRA (SECA)]]),ISBLANK(Tabla1[[#This Row],[M1 '[g']]]),ISBLANK(Tabla1[[#This Row],[M4 '[g']  PESO CRISOL + CENIZAS]]),ISBLANK(Tabla1[[#This Row],[M5]])),"",Tabla1[[#This Row],[M3 '[g'] PESO CRISOL+MUESTRA (SECA)]]-Tabla1[[#This Row],[M1 '[g']]]-Tabla1[[#This Row],[M4 '[g']  PESO CRISOL + CENIZAS]]-Tabla1[[#This Row],[M5]])</f>
        <v>1.9599999999996953E-2</v>
      </c>
      <c r="K41" s="407">
        <f>IF(OR(ISBLANK(Tabla1[[#This Row],[M3 '[g'] PESO CRISOL+MUESTRA (SECA)]]),ISBLANK(Tabla1[[#This Row],[M1 '[g']]]),ISBLANK(Tabla1[[#This Row],[M4 '[g']  PESO CRISOL + CENIZAS]])),"",Tabla1[[#This Row],[M3 '[g'] PESO CRISOL+MUESTRA (SECA)]]-Tabla1[[#This Row],[M1 '[g']]]-Tabla1[[#This Row],[M4 '[g']  PESO CRISOL + CENIZAS]])</f>
        <v>2.1699999999999164E-2</v>
      </c>
      <c r="L41" s="407">
        <f>IF(ISNUMBER(Tabla1[[#This Row],[%FIBRA TOTAL]]),Tabla1[[#This Row],[%FIBRA TOTAL]]*(100-Tabla1[[#This Row],[%Grasa y/o % humedad En la Muestra g/100g]])/100,"")</f>
        <v>2.4260599999999079E-3</v>
      </c>
      <c r="M41" s="393">
        <v>88.82</v>
      </c>
      <c r="N41" s="399" t="s">
        <v>1231</v>
      </c>
      <c r="O41" s="411" t="s">
        <v>1217</v>
      </c>
      <c r="P41" s="412" t="s">
        <v>1335</v>
      </c>
      <c r="Q41" s="413" t="s">
        <v>1233</v>
      </c>
      <c r="R41" s="414"/>
    </row>
    <row r="42" spans="1:18" ht="15.75" customHeight="1" x14ac:dyDescent="0.3">
      <c r="A42" s="397">
        <v>44268</v>
      </c>
      <c r="B42" s="398" t="s">
        <v>911</v>
      </c>
      <c r="C42" s="399" t="s">
        <v>1234</v>
      </c>
      <c r="D42" s="399" t="s">
        <v>1271</v>
      </c>
      <c r="E42" s="399">
        <v>0.26040000000000002</v>
      </c>
      <c r="F42" s="399">
        <v>1.0286</v>
      </c>
      <c r="G42" s="400">
        <v>26.088200000000001</v>
      </c>
      <c r="H42" s="400">
        <v>25.177499999999998</v>
      </c>
      <c r="I42" s="400">
        <v>2.1000000000022112E-3</v>
      </c>
      <c r="J42" s="406">
        <f>IF(OR(ISBLANK(Tabla1[[#This Row],[M3 '[g'] PESO CRISOL+MUESTRA (SECA)]]),ISBLANK(Tabla1[[#This Row],[M1 '[g']]]),ISBLANK(Tabla1[[#This Row],[M4 '[g']  PESO CRISOL + CENIZAS]]),ISBLANK(Tabla1[[#This Row],[M5]])),"",Tabla1[[#This Row],[M3 '[g'] PESO CRISOL+MUESTRA (SECA)]]-Tabla1[[#This Row],[M1 '[g']]]-Tabla1[[#This Row],[M4 '[g']  PESO CRISOL + CENIZAS]]-Tabla1[[#This Row],[M5]])</f>
        <v>0.64819999999999922</v>
      </c>
      <c r="K42" s="407">
        <f>IF(OR(ISBLANK(Tabla1[[#This Row],[M3 '[g'] PESO CRISOL+MUESTRA (SECA)]]),ISBLANK(Tabla1[[#This Row],[M1 '[g']]]),ISBLANK(Tabla1[[#This Row],[M4 '[g']  PESO CRISOL + CENIZAS]])),"",Tabla1[[#This Row],[M3 '[g'] PESO CRISOL+MUESTRA (SECA)]]-Tabla1[[#This Row],[M1 '[g']]]-Tabla1[[#This Row],[M4 '[g']  PESO CRISOL + CENIZAS]])</f>
        <v>0.65030000000000143</v>
      </c>
      <c r="L42" s="407">
        <f>IF(ISNUMBER(Tabla1[[#This Row],[%FIBRA TOTAL]]),Tabla1[[#This Row],[%FIBRA TOTAL]]*(100-Tabla1[[#This Row],[%Grasa y/o % humedad En la Muestra g/100g]])/100,"")</f>
        <v>0.63072597000000141</v>
      </c>
      <c r="M42" s="393">
        <v>3.01</v>
      </c>
      <c r="N42" s="399" t="s">
        <v>1231</v>
      </c>
      <c r="O42" s="411" t="s">
        <v>1217</v>
      </c>
      <c r="P42" s="412" t="s">
        <v>1335</v>
      </c>
      <c r="Q42" s="413" t="s">
        <v>1233</v>
      </c>
      <c r="R42" s="413" t="s">
        <v>1239</v>
      </c>
    </row>
    <row r="43" spans="1:18" ht="15.75" customHeight="1" x14ac:dyDescent="0.3">
      <c r="A43" s="397">
        <v>44268</v>
      </c>
      <c r="B43" s="398" t="s">
        <v>911</v>
      </c>
      <c r="C43" s="399" t="s">
        <v>1234</v>
      </c>
      <c r="D43" s="399" t="s">
        <v>1269</v>
      </c>
      <c r="E43" s="399">
        <v>0.25990000000000002</v>
      </c>
      <c r="F43" s="399">
        <v>1.0117</v>
      </c>
      <c r="G43" s="400">
        <v>25.2334</v>
      </c>
      <c r="H43" s="400">
        <v>24.4329</v>
      </c>
      <c r="I43" s="400">
        <v>2.1000000000022112E-3</v>
      </c>
      <c r="J43" s="406">
        <f>IF(OR(ISBLANK(Tabla1[[#This Row],[M3 '[g'] PESO CRISOL+MUESTRA (SECA)]]),ISBLANK(Tabla1[[#This Row],[M1 '[g']]]),ISBLANK(Tabla1[[#This Row],[M4 '[g']  PESO CRISOL + CENIZAS]]),ISBLANK(Tabla1[[#This Row],[M5]])),"",Tabla1[[#This Row],[M3 '[g'] PESO CRISOL+MUESTRA (SECA)]]-Tabla1[[#This Row],[M1 '[g']]]-Tabla1[[#This Row],[M4 '[g']  PESO CRISOL + CENIZAS]]-Tabla1[[#This Row],[M5]])</f>
        <v>0.53849999999999909</v>
      </c>
      <c r="K43" s="407">
        <f>IF(OR(ISBLANK(Tabla1[[#This Row],[M3 '[g'] PESO CRISOL+MUESTRA (SECA)]]),ISBLANK(Tabla1[[#This Row],[M1 '[g']]]),ISBLANK(Tabla1[[#This Row],[M4 '[g']  PESO CRISOL + CENIZAS]])),"",Tabla1[[#This Row],[M3 '[g'] PESO CRISOL+MUESTRA (SECA)]]-Tabla1[[#This Row],[M1 '[g']]]-Tabla1[[#This Row],[M4 '[g']  PESO CRISOL + CENIZAS]])</f>
        <v>0.5406000000000013</v>
      </c>
      <c r="L43" s="407">
        <f>IF(ISNUMBER(Tabla1[[#This Row],[%FIBRA TOTAL]]),Tabla1[[#This Row],[%FIBRA TOTAL]]*(100-Tabla1[[#This Row],[%Grasa y/o % humedad En la Muestra g/100g]])/100,"")</f>
        <v>0.52432794000000127</v>
      </c>
      <c r="M43" s="393">
        <v>3.01</v>
      </c>
      <c r="N43" s="399" t="s">
        <v>1231</v>
      </c>
      <c r="O43" s="411" t="s">
        <v>1217</v>
      </c>
      <c r="P43" s="412" t="s">
        <v>1335</v>
      </c>
      <c r="Q43" s="413" t="s">
        <v>1233</v>
      </c>
      <c r="R43" s="413" t="s">
        <v>1239</v>
      </c>
    </row>
    <row r="44" spans="1:18" ht="15.75" customHeight="1" x14ac:dyDescent="0.3">
      <c r="A44" s="397">
        <v>44268</v>
      </c>
      <c r="B44" s="398" t="s">
        <v>911</v>
      </c>
      <c r="C44" s="399" t="s">
        <v>1235</v>
      </c>
      <c r="D44" s="399" t="s">
        <v>1271</v>
      </c>
      <c r="E44" s="399">
        <v>0.2601</v>
      </c>
      <c r="F44" s="399">
        <v>1.0184</v>
      </c>
      <c r="G44" s="400">
        <v>26.639199999999999</v>
      </c>
      <c r="H44" s="400">
        <v>25.900500000000001</v>
      </c>
      <c r="I44" s="400">
        <v>2.1000000000022112E-3</v>
      </c>
      <c r="J44" s="406">
        <f>IF(OR(ISBLANK(Tabla1[[#This Row],[M3 '[g'] PESO CRISOL+MUESTRA (SECA)]]),ISBLANK(Tabla1[[#This Row],[M1 '[g']]]),ISBLANK(Tabla1[[#This Row],[M4 '[g']  PESO CRISOL + CENIZAS]]),ISBLANK(Tabla1[[#This Row],[M5]])),"",Tabla1[[#This Row],[M3 '[g'] PESO CRISOL+MUESTRA (SECA)]]-Tabla1[[#This Row],[M1 '[g']]]-Tabla1[[#This Row],[M4 '[g']  PESO CRISOL + CENIZAS]]-Tabla1[[#This Row],[M5]])</f>
        <v>0.47649999999999437</v>
      </c>
      <c r="K44" s="407">
        <f>IF(OR(ISBLANK(Tabla1[[#This Row],[M3 '[g'] PESO CRISOL+MUESTRA (SECA)]]),ISBLANK(Tabla1[[#This Row],[M1 '[g']]]),ISBLANK(Tabla1[[#This Row],[M4 '[g']  PESO CRISOL + CENIZAS]])),"",Tabla1[[#This Row],[M3 '[g'] PESO CRISOL+MUESTRA (SECA)]]-Tabla1[[#This Row],[M1 '[g']]]-Tabla1[[#This Row],[M4 '[g']  PESO CRISOL + CENIZAS]])</f>
        <v>0.47859999999999658</v>
      </c>
      <c r="L44" s="407">
        <f>IF(ISNUMBER(Tabla1[[#This Row],[%FIBRA TOTAL]]),Tabla1[[#This Row],[%FIBRA TOTAL]]*(100-Tabla1[[#This Row],[%Grasa y/o % humedad En la Muestra g/100g]])/100,"")</f>
        <v>0.46797507999999666</v>
      </c>
      <c r="M44" s="393">
        <v>2.2200000000000002</v>
      </c>
      <c r="N44" s="399" t="s">
        <v>1231</v>
      </c>
      <c r="O44" s="411" t="s">
        <v>1217</v>
      </c>
      <c r="P44" s="412" t="s">
        <v>1335</v>
      </c>
      <c r="Q44" s="413" t="s">
        <v>1233</v>
      </c>
      <c r="R44" s="413" t="s">
        <v>1239</v>
      </c>
    </row>
    <row r="45" spans="1:18" ht="15.75" customHeight="1" x14ac:dyDescent="0.3">
      <c r="A45" s="397">
        <v>44272</v>
      </c>
      <c r="B45" s="398" t="s">
        <v>905</v>
      </c>
      <c r="C45" s="399" t="s">
        <v>1236</v>
      </c>
      <c r="D45" s="399" t="s">
        <v>1271</v>
      </c>
      <c r="E45" s="399">
        <v>0.26090000000000002</v>
      </c>
      <c r="F45" s="399">
        <v>1.0011000000000001</v>
      </c>
      <c r="G45" s="400">
        <v>21.420500000000001</v>
      </c>
      <c r="H45" s="400">
        <v>21.091000000000001</v>
      </c>
      <c r="I45" s="400">
        <v>2.1000000000022112E-3</v>
      </c>
      <c r="J45" s="406">
        <f>IF(OR(ISBLANK(Tabla1[[#This Row],[M3 '[g'] PESO CRISOL+MUESTRA (SECA)]]),ISBLANK(Tabla1[[#This Row],[M1 '[g']]]),ISBLANK(Tabla1[[#This Row],[M4 '[g']  PESO CRISOL + CENIZAS]]),ISBLANK(Tabla1[[#This Row],[M5]])),"",Tabla1[[#This Row],[M3 '[g'] PESO CRISOL+MUESTRA (SECA)]]-Tabla1[[#This Row],[M1 '[g']]]-Tabla1[[#This Row],[M4 '[g']  PESO CRISOL + CENIZAS]]-Tabla1[[#This Row],[M5]])</f>
        <v>6.6499999999997783E-2</v>
      </c>
      <c r="K45" s="407">
        <f>IF(OR(ISBLANK(Tabla1[[#This Row],[M3 '[g'] PESO CRISOL+MUESTRA (SECA)]]),ISBLANK(Tabla1[[#This Row],[M1 '[g']]]),ISBLANK(Tabla1[[#This Row],[M4 '[g']  PESO CRISOL + CENIZAS]])),"",Tabla1[[#This Row],[M3 '[g'] PESO CRISOL+MUESTRA (SECA)]]-Tabla1[[#This Row],[M1 '[g']]]-Tabla1[[#This Row],[M4 '[g']  PESO CRISOL + CENIZAS]])</f>
        <v>6.8599999999999994E-2</v>
      </c>
      <c r="L45" s="407">
        <f>IF(ISNUMBER(Tabla1[[#This Row],[%FIBRA TOTAL]]),Tabla1[[#This Row],[%FIBRA TOTAL]]*(100-Tabla1[[#This Row],[%Grasa y/o % humedad En la Muestra g/100g]])/100,"")</f>
        <v>7.3676399999999965E-3</v>
      </c>
      <c r="M45" s="393">
        <v>89.26</v>
      </c>
      <c r="N45" s="399" t="s">
        <v>1231</v>
      </c>
      <c r="O45" s="411" t="s">
        <v>1217</v>
      </c>
      <c r="P45" s="412" t="s">
        <v>1335</v>
      </c>
      <c r="Q45" s="413" t="s">
        <v>1238</v>
      </c>
      <c r="R45" s="414"/>
    </row>
    <row r="46" spans="1:18" ht="15.75" customHeight="1" x14ac:dyDescent="0.3">
      <c r="A46" s="397">
        <v>44272</v>
      </c>
      <c r="B46" s="398" t="s">
        <v>905</v>
      </c>
      <c r="C46" s="399" t="s">
        <v>1236</v>
      </c>
      <c r="D46" s="399" t="s">
        <v>1269</v>
      </c>
      <c r="E46" s="399">
        <v>0.26090000000000002</v>
      </c>
      <c r="F46" s="399">
        <v>1.0013000000000001</v>
      </c>
      <c r="G46" s="400">
        <v>23.155999999999999</v>
      </c>
      <c r="H46" s="400">
        <v>22.821100000000001</v>
      </c>
      <c r="I46" s="400">
        <v>2.1000000000022112E-3</v>
      </c>
      <c r="J46" s="406">
        <f>IF(OR(ISBLANK(Tabla1[[#This Row],[M3 '[g'] PESO CRISOL+MUESTRA (SECA)]]),ISBLANK(Tabla1[[#This Row],[M1 '[g']]]),ISBLANK(Tabla1[[#This Row],[M4 '[g']  PESO CRISOL + CENIZAS]]),ISBLANK(Tabla1[[#This Row],[M5]])),"",Tabla1[[#This Row],[M3 '[g'] PESO CRISOL+MUESTRA (SECA)]]-Tabla1[[#This Row],[M1 '[g']]]-Tabla1[[#This Row],[M4 '[g']  PESO CRISOL + CENIZAS]]-Tabla1[[#This Row],[M5]])</f>
        <v>7.1899999999995856E-2</v>
      </c>
      <c r="K46" s="407">
        <f>IF(OR(ISBLANK(Tabla1[[#This Row],[M3 '[g'] PESO CRISOL+MUESTRA (SECA)]]),ISBLANK(Tabla1[[#This Row],[M1 '[g']]]),ISBLANK(Tabla1[[#This Row],[M4 '[g']  PESO CRISOL + CENIZAS]])),"",Tabla1[[#This Row],[M3 '[g'] PESO CRISOL+MUESTRA (SECA)]]-Tabla1[[#This Row],[M1 '[g']]]-Tabla1[[#This Row],[M4 '[g']  PESO CRISOL + CENIZAS]])</f>
        <v>7.3999999999998067E-2</v>
      </c>
      <c r="L46" s="407">
        <f>IF(ISNUMBER(Tabla1[[#This Row],[%FIBRA TOTAL]]),Tabla1[[#This Row],[%FIBRA TOTAL]]*(100-Tabla1[[#This Row],[%Grasa y/o % humedad En la Muestra g/100g]])/100,"")</f>
        <v>7.9475999999997875E-3</v>
      </c>
      <c r="M46" s="393">
        <v>89.26</v>
      </c>
      <c r="N46" s="399" t="s">
        <v>1231</v>
      </c>
      <c r="O46" s="411" t="s">
        <v>1217</v>
      </c>
      <c r="P46" s="412" t="s">
        <v>1335</v>
      </c>
      <c r="Q46" s="413" t="s">
        <v>1238</v>
      </c>
      <c r="R46" s="414"/>
    </row>
    <row r="47" spans="1:18" ht="15.75" customHeight="1" x14ac:dyDescent="0.3">
      <c r="A47" s="397">
        <v>44272</v>
      </c>
      <c r="B47" s="398" t="s">
        <v>905</v>
      </c>
      <c r="C47" s="399" t="s">
        <v>1237</v>
      </c>
      <c r="D47" s="399" t="s">
        <v>1271</v>
      </c>
      <c r="E47" s="399">
        <v>0.26129999999999998</v>
      </c>
      <c r="F47" s="399">
        <v>1.0093000000000001</v>
      </c>
      <c r="G47" s="400">
        <v>26.355</v>
      </c>
      <c r="H47" s="400">
        <v>26.0702</v>
      </c>
      <c r="I47" s="400">
        <v>2.1000000000022112E-3</v>
      </c>
      <c r="J47" s="406">
        <f>IF(OR(ISBLANK(Tabla1[[#This Row],[M3 '[g'] PESO CRISOL+MUESTRA (SECA)]]),ISBLANK(Tabla1[[#This Row],[M1 '[g']]]),ISBLANK(Tabla1[[#This Row],[M4 '[g']  PESO CRISOL + CENIZAS]]),ISBLANK(Tabla1[[#This Row],[M5]])),"",Tabla1[[#This Row],[M3 '[g'] PESO CRISOL+MUESTRA (SECA)]]-Tabla1[[#This Row],[M1 '[g']]]-Tabla1[[#This Row],[M4 '[g']  PESO CRISOL + CENIZAS]]-Tabla1[[#This Row],[M5]])</f>
        <v>2.1399999999999864E-2</v>
      </c>
      <c r="K47" s="407">
        <f>IF(OR(ISBLANK(Tabla1[[#This Row],[M3 '[g'] PESO CRISOL+MUESTRA (SECA)]]),ISBLANK(Tabla1[[#This Row],[M1 '[g']]]),ISBLANK(Tabla1[[#This Row],[M4 '[g']  PESO CRISOL + CENIZAS]])),"",Tabla1[[#This Row],[M3 '[g'] PESO CRISOL+MUESTRA (SECA)]]-Tabla1[[#This Row],[M1 '[g']]]-Tabla1[[#This Row],[M4 '[g']  PESO CRISOL + CENIZAS]])</f>
        <v>2.3500000000002075E-2</v>
      </c>
      <c r="L47" s="407">
        <f>IF(ISNUMBER(Tabla1[[#This Row],[%FIBRA TOTAL]]),Tabla1[[#This Row],[%FIBRA TOTAL]]*(100-Tabla1[[#This Row],[%Grasa y/o % humedad En la Muestra g/100g]])/100,"")</f>
        <v>2.4017000000002117E-3</v>
      </c>
      <c r="M47" s="393">
        <v>89.78</v>
      </c>
      <c r="N47" s="399" t="s">
        <v>1231</v>
      </c>
      <c r="O47" s="411" t="s">
        <v>1217</v>
      </c>
      <c r="P47" s="412" t="s">
        <v>1335</v>
      </c>
      <c r="Q47" s="413" t="s">
        <v>1238</v>
      </c>
      <c r="R47" s="414"/>
    </row>
    <row r="48" spans="1:18" ht="15.75" customHeight="1" x14ac:dyDescent="0.3">
      <c r="A48" s="397">
        <v>44272</v>
      </c>
      <c r="B48" s="398" t="s">
        <v>911</v>
      </c>
      <c r="C48" s="399" t="s">
        <v>1234</v>
      </c>
      <c r="D48" s="399" t="s">
        <v>1271</v>
      </c>
      <c r="E48" s="399">
        <v>0.2601</v>
      </c>
      <c r="F48" s="399">
        <v>1.004</v>
      </c>
      <c r="G48" s="400">
        <v>28.395499999999998</v>
      </c>
      <c r="H48" s="400">
        <v>27.600999999999999</v>
      </c>
      <c r="I48" s="400">
        <v>2.1000000000022112E-3</v>
      </c>
      <c r="J48" s="406">
        <f>IF(OR(ISBLANK(Tabla1[[#This Row],[M3 '[g'] PESO CRISOL+MUESTRA (SECA)]]),ISBLANK(Tabla1[[#This Row],[M1 '[g']]]),ISBLANK(Tabla1[[#This Row],[M4 '[g']  PESO CRISOL + CENIZAS]]),ISBLANK(Tabla1[[#This Row],[M5]])),"",Tabla1[[#This Row],[M3 '[g'] PESO CRISOL+MUESTRA (SECA)]]-Tabla1[[#This Row],[M1 '[g']]]-Tabla1[[#This Row],[M4 '[g']  PESO CRISOL + CENIZAS]]-Tabla1[[#This Row],[M5]])</f>
        <v>0.53229999999999578</v>
      </c>
      <c r="K48" s="407">
        <f>IF(OR(ISBLANK(Tabla1[[#This Row],[M3 '[g'] PESO CRISOL+MUESTRA (SECA)]]),ISBLANK(Tabla1[[#This Row],[M1 '[g']]]),ISBLANK(Tabla1[[#This Row],[M4 '[g']  PESO CRISOL + CENIZAS]])),"",Tabla1[[#This Row],[M3 '[g'] PESO CRISOL+MUESTRA (SECA)]]-Tabla1[[#This Row],[M1 '[g']]]-Tabla1[[#This Row],[M4 '[g']  PESO CRISOL + CENIZAS]])</f>
        <v>0.53439999999999799</v>
      </c>
      <c r="L48" s="407">
        <f>IF(ISNUMBER(Tabla1[[#This Row],[%FIBRA TOTAL]]),Tabla1[[#This Row],[%FIBRA TOTAL]]*(100-Tabla1[[#This Row],[%Grasa y/o % humedad En la Muestra g/100g]])/100,"")</f>
        <v>0.30567679999999886</v>
      </c>
      <c r="M48" s="393">
        <v>42.8</v>
      </c>
      <c r="N48" s="399" t="s">
        <v>1231</v>
      </c>
      <c r="O48" s="411" t="s">
        <v>1217</v>
      </c>
      <c r="P48" s="412" t="s">
        <v>1335</v>
      </c>
      <c r="Q48" s="413" t="s">
        <v>1238</v>
      </c>
      <c r="R48" s="414"/>
    </row>
    <row r="49" spans="1:18" ht="15.75" customHeight="1" x14ac:dyDescent="0.3">
      <c r="A49" s="397">
        <v>44272</v>
      </c>
      <c r="B49" s="398" t="s">
        <v>911</v>
      </c>
      <c r="C49" s="399" t="s">
        <v>1235</v>
      </c>
      <c r="D49" s="399" t="s">
        <v>1271</v>
      </c>
      <c r="E49" s="399">
        <v>0.26100000000000001</v>
      </c>
      <c r="F49" s="399">
        <v>1.0007999999999999</v>
      </c>
      <c r="G49" s="400">
        <v>24.702500000000001</v>
      </c>
      <c r="H49" s="400">
        <v>24.068999999999999</v>
      </c>
      <c r="I49" s="400">
        <v>2.1000000000022112E-3</v>
      </c>
      <c r="J49" s="406">
        <f>IF(OR(ISBLANK(Tabla1[[#This Row],[M3 '[g'] PESO CRISOL+MUESTRA (SECA)]]),ISBLANK(Tabla1[[#This Row],[M1 '[g']]]),ISBLANK(Tabla1[[#This Row],[M4 '[g']  PESO CRISOL + CENIZAS]]),ISBLANK(Tabla1[[#This Row],[M5]])),"",Tabla1[[#This Row],[M3 '[g'] PESO CRISOL+MUESTRA (SECA)]]-Tabla1[[#This Row],[M1 '[g']]]-Tabla1[[#This Row],[M4 '[g']  PESO CRISOL + CENIZAS]]-Tabla1[[#This Row],[M5]])</f>
        <v>0.37040000000000006</v>
      </c>
      <c r="K49" s="407">
        <f>IF(OR(ISBLANK(Tabla1[[#This Row],[M3 '[g'] PESO CRISOL+MUESTRA (SECA)]]),ISBLANK(Tabla1[[#This Row],[M1 '[g']]]),ISBLANK(Tabla1[[#This Row],[M4 '[g']  PESO CRISOL + CENIZAS]])),"",Tabla1[[#This Row],[M3 '[g'] PESO CRISOL+MUESTRA (SECA)]]-Tabla1[[#This Row],[M1 '[g']]]-Tabla1[[#This Row],[M4 '[g']  PESO CRISOL + CENIZAS]])</f>
        <v>0.37250000000000227</v>
      </c>
      <c r="L49" s="407">
        <f>IF(ISNUMBER(Tabla1[[#This Row],[%FIBRA TOTAL]]),Tabla1[[#This Row],[%FIBRA TOTAL]]*(100-Tabla1[[#This Row],[%Grasa y/o % humedad En la Muestra g/100g]])/100,"")</f>
        <v>0.24175250000000151</v>
      </c>
      <c r="M49" s="393">
        <v>35.1</v>
      </c>
      <c r="N49" s="399" t="s">
        <v>1231</v>
      </c>
      <c r="O49" s="411" t="s">
        <v>1217</v>
      </c>
      <c r="P49" s="412" t="s">
        <v>1335</v>
      </c>
      <c r="Q49" s="413" t="s">
        <v>1238</v>
      </c>
      <c r="R49" s="414"/>
    </row>
    <row r="50" spans="1:18" ht="15.75" customHeight="1" x14ac:dyDescent="0.3">
      <c r="A50" s="397">
        <v>44272</v>
      </c>
      <c r="B50" s="398" t="s">
        <v>911</v>
      </c>
      <c r="C50" s="399" t="s">
        <v>1235</v>
      </c>
      <c r="D50" s="399" t="s">
        <v>1269</v>
      </c>
      <c r="E50" s="399">
        <v>0.26100000000000001</v>
      </c>
      <c r="F50" s="399">
        <v>1.0002</v>
      </c>
      <c r="G50" s="400">
        <v>26.071000000000002</v>
      </c>
      <c r="H50" s="400">
        <v>25.468499999999999</v>
      </c>
      <c r="I50" s="400">
        <v>2.1000000000022112E-3</v>
      </c>
      <c r="J50" s="406">
        <f>IF(OR(ISBLANK(Tabla1[[#This Row],[M3 '[g'] PESO CRISOL+MUESTRA (SECA)]]),ISBLANK(Tabla1[[#This Row],[M1 '[g']]]),ISBLANK(Tabla1[[#This Row],[M4 '[g']  PESO CRISOL + CENIZAS]]),ISBLANK(Tabla1[[#This Row],[M5]])),"",Tabla1[[#This Row],[M3 '[g'] PESO CRISOL+MUESTRA (SECA)]]-Tabla1[[#This Row],[M1 '[g']]]-Tabla1[[#This Row],[M4 '[g']  PESO CRISOL + CENIZAS]]-Tabla1[[#This Row],[M5]])</f>
        <v>0.33940000000000126</v>
      </c>
      <c r="K50" s="407">
        <f>IF(OR(ISBLANK(Tabla1[[#This Row],[M3 '[g'] PESO CRISOL+MUESTRA (SECA)]]),ISBLANK(Tabla1[[#This Row],[M1 '[g']]]),ISBLANK(Tabla1[[#This Row],[M4 '[g']  PESO CRISOL + CENIZAS]])),"",Tabla1[[#This Row],[M3 '[g'] PESO CRISOL+MUESTRA (SECA)]]-Tabla1[[#This Row],[M1 '[g']]]-Tabla1[[#This Row],[M4 '[g']  PESO CRISOL + CENIZAS]])</f>
        <v>0.34150000000000347</v>
      </c>
      <c r="L50" s="407">
        <f>IF(ISNUMBER(Tabla1[[#This Row],[%FIBRA TOTAL]]),Tabla1[[#This Row],[%FIBRA TOTAL]]*(100-Tabla1[[#This Row],[%Grasa y/o % humedad En la Muestra g/100g]])/100,"")</f>
        <v>0.22163350000000229</v>
      </c>
      <c r="M50" s="393">
        <v>35.1</v>
      </c>
      <c r="N50" s="399" t="s">
        <v>1231</v>
      </c>
      <c r="O50" s="411" t="s">
        <v>1217</v>
      </c>
      <c r="P50" s="412" t="s">
        <v>1335</v>
      </c>
      <c r="Q50" s="413" t="s">
        <v>1238</v>
      </c>
      <c r="R50" s="414"/>
    </row>
    <row r="51" spans="1:18" ht="15.75" customHeight="1" x14ac:dyDescent="0.3">
      <c r="A51" s="397">
        <v>44275</v>
      </c>
      <c r="B51" s="398" t="s">
        <v>1307</v>
      </c>
      <c r="C51" s="399" t="s">
        <v>1240</v>
      </c>
      <c r="D51" s="399" t="s">
        <v>1271</v>
      </c>
      <c r="E51" s="399">
        <v>0.25979999999999998</v>
      </c>
      <c r="F51" s="399">
        <v>1.0039</v>
      </c>
      <c r="G51" s="400">
        <v>28.2912</v>
      </c>
      <c r="H51" s="400">
        <v>27.601800000000001</v>
      </c>
      <c r="I51" s="400">
        <v>2.1000000000022112E-3</v>
      </c>
      <c r="J51" s="406">
        <f>IF(OR(ISBLANK(Tabla1[[#This Row],[M3 '[g'] PESO CRISOL+MUESTRA (SECA)]]),ISBLANK(Tabla1[[#This Row],[M1 '[g']]]),ISBLANK(Tabla1[[#This Row],[M4 '[g']  PESO CRISOL + CENIZAS]]),ISBLANK(Tabla1[[#This Row],[M5]])),"",Tabla1[[#This Row],[M3 '[g'] PESO CRISOL+MUESTRA (SECA)]]-Tabla1[[#This Row],[M1 '[g']]]-Tabla1[[#This Row],[M4 '[g']  PESO CRISOL + CENIZAS]]-Tabla1[[#This Row],[M5]])</f>
        <v>0.42749999999999844</v>
      </c>
      <c r="K51" s="407">
        <f>IF(OR(ISBLANK(Tabla1[[#This Row],[M3 '[g'] PESO CRISOL+MUESTRA (SECA)]]),ISBLANK(Tabla1[[#This Row],[M1 '[g']]]),ISBLANK(Tabla1[[#This Row],[M4 '[g']  PESO CRISOL + CENIZAS]])),"",Tabla1[[#This Row],[M3 '[g'] PESO CRISOL+MUESTRA (SECA)]]-Tabla1[[#This Row],[M1 '[g']]]-Tabla1[[#This Row],[M4 '[g']  PESO CRISOL + CENIZAS]])</f>
        <v>0.42960000000000065</v>
      </c>
      <c r="L51" s="407">
        <f>IF(ISNUMBER(Tabla1[[#This Row],[%FIBRA TOTAL]]),Tabla1[[#This Row],[%FIBRA TOTAL]]*(100-Tabla1[[#This Row],[%Grasa y/o % humedad En la Muestra g/100g]])/100,"")</f>
        <v>7.1227680000000099E-2</v>
      </c>
      <c r="M51" s="393">
        <v>83.42</v>
      </c>
      <c r="N51" s="399" t="s">
        <v>1231</v>
      </c>
      <c r="O51" s="411" t="s">
        <v>1217</v>
      </c>
      <c r="P51" s="412" t="s">
        <v>1335</v>
      </c>
      <c r="Q51" s="413" t="s">
        <v>1243</v>
      </c>
      <c r="R51" s="414"/>
    </row>
    <row r="52" spans="1:18" ht="15.75" customHeight="1" x14ac:dyDescent="0.3">
      <c r="A52" s="397">
        <v>44275</v>
      </c>
      <c r="B52" s="398" t="s">
        <v>1307</v>
      </c>
      <c r="C52" s="399" t="s">
        <v>1241</v>
      </c>
      <c r="D52" s="399" t="s">
        <v>1271</v>
      </c>
      <c r="E52" s="399">
        <v>0.25979999999999998</v>
      </c>
      <c r="F52" s="399">
        <v>1.0125</v>
      </c>
      <c r="G52" s="400">
        <v>26.760100000000001</v>
      </c>
      <c r="H52" s="400">
        <v>26.069900000000001</v>
      </c>
      <c r="I52" s="400">
        <v>2.1000000000022112E-3</v>
      </c>
      <c r="J52" s="406">
        <f>IF(OR(ISBLANK(Tabla1[[#This Row],[M3 '[g'] PESO CRISOL+MUESTRA (SECA)]]),ISBLANK(Tabla1[[#This Row],[M1 '[g']]]),ISBLANK(Tabla1[[#This Row],[M4 '[g']  PESO CRISOL + CENIZAS]]),ISBLANK(Tabla1[[#This Row],[M5]])),"",Tabla1[[#This Row],[M3 '[g'] PESO CRISOL+MUESTRA (SECA)]]-Tabla1[[#This Row],[M1 '[g']]]-Tabla1[[#This Row],[M4 '[g']  PESO CRISOL + CENIZAS]]-Tabla1[[#This Row],[M5]])</f>
        <v>0.42830000000000013</v>
      </c>
      <c r="K52" s="407">
        <f>IF(OR(ISBLANK(Tabla1[[#This Row],[M3 '[g'] PESO CRISOL+MUESTRA (SECA)]]),ISBLANK(Tabla1[[#This Row],[M1 '[g']]]),ISBLANK(Tabla1[[#This Row],[M4 '[g']  PESO CRISOL + CENIZAS]])),"",Tabla1[[#This Row],[M3 '[g'] PESO CRISOL+MUESTRA (SECA)]]-Tabla1[[#This Row],[M1 '[g']]]-Tabla1[[#This Row],[M4 '[g']  PESO CRISOL + CENIZAS]])</f>
        <v>0.43040000000000234</v>
      </c>
      <c r="L52" s="407">
        <f>IF(ISNUMBER(Tabla1[[#This Row],[%FIBRA TOTAL]]),Tabla1[[#This Row],[%FIBRA TOTAL]]*(100-Tabla1[[#This Row],[%Grasa y/o % humedad En la Muestra g/100g]])/100,"")</f>
        <v>0.10277952000000054</v>
      </c>
      <c r="M52" s="393">
        <v>76.12</v>
      </c>
      <c r="N52" s="399" t="s">
        <v>1231</v>
      </c>
      <c r="O52" s="411" t="s">
        <v>1217</v>
      </c>
      <c r="P52" s="412" t="s">
        <v>1335</v>
      </c>
      <c r="Q52" s="413" t="s">
        <v>1243</v>
      </c>
      <c r="R52" s="414"/>
    </row>
    <row r="53" spans="1:18" ht="15.75" customHeight="1" x14ac:dyDescent="0.3">
      <c r="A53" s="397">
        <v>44275</v>
      </c>
      <c r="B53" s="398" t="s">
        <v>1307</v>
      </c>
      <c r="C53" s="399" t="s">
        <v>1242</v>
      </c>
      <c r="D53" s="399" t="s">
        <v>1271</v>
      </c>
      <c r="E53" s="399">
        <v>0.26019999999999999</v>
      </c>
      <c r="F53" s="399">
        <v>1.0247999999999999</v>
      </c>
      <c r="G53" s="400">
        <v>26.4114</v>
      </c>
      <c r="H53" s="400">
        <v>25.566400000000002</v>
      </c>
      <c r="I53" s="400">
        <v>2.1000000000022112E-3</v>
      </c>
      <c r="J53" s="406">
        <f>IF(OR(ISBLANK(Tabla1[[#This Row],[M3 '[g'] PESO CRISOL+MUESTRA (SECA)]]),ISBLANK(Tabla1[[#This Row],[M1 '[g']]]),ISBLANK(Tabla1[[#This Row],[M4 '[g']  PESO CRISOL + CENIZAS]]),ISBLANK(Tabla1[[#This Row],[M5]])),"",Tabla1[[#This Row],[M3 '[g'] PESO CRISOL+MUESTRA (SECA)]]-Tabla1[[#This Row],[M1 '[g']]]-Tabla1[[#This Row],[M4 '[g']  PESO CRISOL + CENIZAS]]-Tabla1[[#This Row],[M5]])</f>
        <v>0.58269999999999555</v>
      </c>
      <c r="K53" s="407">
        <f>IF(OR(ISBLANK(Tabla1[[#This Row],[M3 '[g'] PESO CRISOL+MUESTRA (SECA)]]),ISBLANK(Tabla1[[#This Row],[M1 '[g']]]),ISBLANK(Tabla1[[#This Row],[M4 '[g']  PESO CRISOL + CENIZAS]])),"",Tabla1[[#This Row],[M3 '[g'] PESO CRISOL+MUESTRA (SECA)]]-Tabla1[[#This Row],[M1 '[g']]]-Tabla1[[#This Row],[M4 '[g']  PESO CRISOL + CENIZAS]])</f>
        <v>0.58479999999999777</v>
      </c>
      <c r="L53" s="407">
        <f>IF(ISNUMBER(Tabla1[[#This Row],[%FIBRA TOTAL]]),Tabla1[[#This Row],[%FIBRA TOTAL]]*(100-Tabla1[[#This Row],[%Grasa y/o % humedad En la Muestra g/100g]])/100,"")</f>
        <v>0.1039774399999996</v>
      </c>
      <c r="M53" s="393">
        <v>82.22</v>
      </c>
      <c r="N53" s="399" t="s">
        <v>1231</v>
      </c>
      <c r="O53" s="411" t="s">
        <v>1217</v>
      </c>
      <c r="P53" s="412" t="s">
        <v>1335</v>
      </c>
      <c r="Q53" s="413" t="s">
        <v>1243</v>
      </c>
      <c r="R53" s="414"/>
    </row>
    <row r="54" spans="1:18" ht="15.75" customHeight="1" x14ac:dyDescent="0.3">
      <c r="A54" s="397">
        <v>44275</v>
      </c>
      <c r="B54" s="398" t="s">
        <v>1307</v>
      </c>
      <c r="C54" s="399" t="s">
        <v>1242</v>
      </c>
      <c r="D54" s="399" t="s">
        <v>1269</v>
      </c>
      <c r="E54" s="399">
        <v>0.26069999999999999</v>
      </c>
      <c r="F54" s="399">
        <v>1.0230999999999999</v>
      </c>
      <c r="G54" s="400">
        <v>26.256</v>
      </c>
      <c r="H54" s="400">
        <v>25.419499999999999</v>
      </c>
      <c r="I54" s="400">
        <v>2.1000000000022112E-3</v>
      </c>
      <c r="J54" s="406">
        <f>IF(OR(ISBLANK(Tabla1[[#This Row],[M3 '[g'] PESO CRISOL+MUESTRA (SECA)]]),ISBLANK(Tabla1[[#This Row],[M1 '[g']]]),ISBLANK(Tabla1[[#This Row],[M4 '[g']  PESO CRISOL + CENIZAS]]),ISBLANK(Tabla1[[#This Row],[M5]])),"",Tabla1[[#This Row],[M3 '[g'] PESO CRISOL+MUESTRA (SECA)]]-Tabla1[[#This Row],[M1 '[g']]]-Tabla1[[#This Row],[M4 '[g']  PESO CRISOL + CENIZAS]]-Tabla1[[#This Row],[M5]])</f>
        <v>0.57369999999999877</v>
      </c>
      <c r="K54" s="407">
        <f>IF(OR(ISBLANK(Tabla1[[#This Row],[M3 '[g'] PESO CRISOL+MUESTRA (SECA)]]),ISBLANK(Tabla1[[#This Row],[M1 '[g']]]),ISBLANK(Tabla1[[#This Row],[M4 '[g']  PESO CRISOL + CENIZAS]])),"",Tabla1[[#This Row],[M3 '[g'] PESO CRISOL+MUESTRA (SECA)]]-Tabla1[[#This Row],[M1 '[g']]]-Tabla1[[#This Row],[M4 '[g']  PESO CRISOL + CENIZAS]])</f>
        <v>0.57580000000000098</v>
      </c>
      <c r="L54" s="407">
        <f>IF(ISNUMBER(Tabla1[[#This Row],[%FIBRA TOTAL]]),Tabla1[[#This Row],[%FIBRA TOTAL]]*(100-Tabla1[[#This Row],[%Grasa y/o % humedad En la Muestra g/100g]])/100,"")</f>
        <v>0.10237724000000017</v>
      </c>
      <c r="M54" s="393">
        <v>82.22</v>
      </c>
      <c r="N54" s="399" t="s">
        <v>1231</v>
      </c>
      <c r="O54" s="411" t="s">
        <v>1217</v>
      </c>
      <c r="P54" s="412" t="s">
        <v>1335</v>
      </c>
      <c r="Q54" s="413" t="s">
        <v>1243</v>
      </c>
      <c r="R54" s="414"/>
    </row>
    <row r="55" spans="1:18" ht="15.75" customHeight="1" x14ac:dyDescent="0.3">
      <c r="A55" s="397">
        <v>44279</v>
      </c>
      <c r="B55" s="398" t="s">
        <v>911</v>
      </c>
      <c r="C55" s="399" t="s">
        <v>1244</v>
      </c>
      <c r="D55" s="399" t="s">
        <v>1271</v>
      </c>
      <c r="E55" s="399">
        <v>0.25919999999999999</v>
      </c>
      <c r="F55" s="399">
        <v>1.0016</v>
      </c>
      <c r="G55" s="400">
        <v>28.008299999999998</v>
      </c>
      <c r="H55" s="400">
        <v>25.573899999999998</v>
      </c>
      <c r="I55" s="400">
        <v>2.1000000000022112E-3</v>
      </c>
      <c r="J55" s="406">
        <f>IF(OR(ISBLANK(Tabla1[[#This Row],[M3 '[g'] PESO CRISOL+MUESTRA (SECA)]]),ISBLANK(Tabla1[[#This Row],[M1 '[g']]]),ISBLANK(Tabla1[[#This Row],[M4 '[g']  PESO CRISOL + CENIZAS]]),ISBLANK(Tabla1[[#This Row],[M5]])),"",Tabla1[[#This Row],[M3 '[g'] PESO CRISOL+MUESTRA (SECA)]]-Tabla1[[#This Row],[M1 '[g']]]-Tabla1[[#This Row],[M4 '[g']  PESO CRISOL + CENIZAS]]-Tabla1[[#This Row],[M5]])</f>
        <v>2.173099999999998</v>
      </c>
      <c r="K55" s="407">
        <f>IF(OR(ISBLANK(Tabla1[[#This Row],[M3 '[g'] PESO CRISOL+MUESTRA (SECA)]]),ISBLANK(Tabla1[[#This Row],[M1 '[g']]]),ISBLANK(Tabla1[[#This Row],[M4 '[g']  PESO CRISOL + CENIZAS]])),"",Tabla1[[#This Row],[M3 '[g'] PESO CRISOL+MUESTRA (SECA)]]-Tabla1[[#This Row],[M1 '[g']]]-Tabla1[[#This Row],[M4 '[g']  PESO CRISOL + CENIZAS]])</f>
        <v>2.1752000000000002</v>
      </c>
      <c r="L55" s="407">
        <f>IF(ISNUMBER(Tabla1[[#This Row],[%FIBRA TOTAL]]),Tabla1[[#This Row],[%FIBRA TOTAL]]*(100-Tabla1[[#This Row],[%Grasa y/o % humedad En la Muestra g/100g]])/100,"")</f>
        <v>0.61862687999999999</v>
      </c>
      <c r="M55" s="393">
        <v>71.56</v>
      </c>
      <c r="N55" s="399" t="s">
        <v>1231</v>
      </c>
      <c r="O55" s="411" t="s">
        <v>1217</v>
      </c>
      <c r="P55" s="412" t="s">
        <v>1335</v>
      </c>
      <c r="Q55" s="413" t="s">
        <v>1246</v>
      </c>
      <c r="R55" s="414"/>
    </row>
    <row r="56" spans="1:18" ht="15.75" customHeight="1" x14ac:dyDescent="0.3">
      <c r="A56" s="397">
        <v>44279</v>
      </c>
      <c r="B56" s="398" t="s">
        <v>911</v>
      </c>
      <c r="C56" s="399" t="s">
        <v>1245</v>
      </c>
      <c r="D56" s="399" t="s">
        <v>1271</v>
      </c>
      <c r="E56" s="399">
        <v>0.2601</v>
      </c>
      <c r="F56" s="399">
        <v>1.014</v>
      </c>
      <c r="G56" s="400">
        <v>22.027899999999999</v>
      </c>
      <c r="H56" s="400">
        <v>21.675999999999998</v>
      </c>
      <c r="I56" s="400">
        <v>2.1000000000022112E-3</v>
      </c>
      <c r="J56" s="406">
        <f>IF(OR(ISBLANK(Tabla1[[#This Row],[M3 '[g'] PESO CRISOL+MUESTRA (SECA)]]),ISBLANK(Tabla1[[#This Row],[M1 '[g']]]),ISBLANK(Tabla1[[#This Row],[M4 '[g']  PESO CRISOL + CENIZAS]]),ISBLANK(Tabla1[[#This Row],[M5]])),"",Tabla1[[#This Row],[M3 '[g'] PESO CRISOL+MUESTRA (SECA)]]-Tabla1[[#This Row],[M1 '[g']]]-Tabla1[[#This Row],[M4 '[g']  PESO CRISOL + CENIZAS]]-Tabla1[[#This Row],[M5]])</f>
        <v>8.9699999999997004E-2</v>
      </c>
      <c r="K56" s="407">
        <f>IF(OR(ISBLANK(Tabla1[[#This Row],[M3 '[g'] PESO CRISOL+MUESTRA (SECA)]]),ISBLANK(Tabla1[[#This Row],[M1 '[g']]]),ISBLANK(Tabla1[[#This Row],[M4 '[g']  PESO CRISOL + CENIZAS]])),"",Tabla1[[#This Row],[M3 '[g'] PESO CRISOL+MUESTRA (SECA)]]-Tabla1[[#This Row],[M1 '[g']]]-Tabla1[[#This Row],[M4 '[g']  PESO CRISOL + CENIZAS]])</f>
        <v>9.1799999999999216E-2</v>
      </c>
      <c r="L56" s="407">
        <f>IF(ISNUMBER(Tabla1[[#This Row],[%FIBRA TOTAL]]),Tabla1[[#This Row],[%FIBRA TOTAL]]*(100-Tabla1[[#This Row],[%Grasa y/o % humedad En la Muestra g/100g]])/100,"")</f>
        <v>6.2644319999999462E-2</v>
      </c>
      <c r="M56" s="393">
        <v>31.76</v>
      </c>
      <c r="N56" s="399" t="s">
        <v>1231</v>
      </c>
      <c r="O56" s="411" t="s">
        <v>1217</v>
      </c>
      <c r="P56" s="412" t="s">
        <v>1335</v>
      </c>
      <c r="Q56" s="413" t="s">
        <v>1246</v>
      </c>
      <c r="R56" s="414"/>
    </row>
    <row r="57" spans="1:18" ht="15.75" customHeight="1" x14ac:dyDescent="0.3">
      <c r="A57" s="397">
        <v>44279</v>
      </c>
      <c r="B57" s="398" t="s">
        <v>911</v>
      </c>
      <c r="C57" s="399" t="s">
        <v>1245</v>
      </c>
      <c r="D57" s="399" t="s">
        <v>1269</v>
      </c>
      <c r="E57" s="399">
        <v>0.26050000000000001</v>
      </c>
      <c r="F57" s="399">
        <v>1.0077</v>
      </c>
      <c r="G57" s="400">
        <v>21.463000000000001</v>
      </c>
      <c r="H57" s="400">
        <v>21.111999999999998</v>
      </c>
      <c r="I57" s="400">
        <v>2.1000000000022112E-3</v>
      </c>
      <c r="J57" s="406">
        <f>IF(OR(ISBLANK(Tabla1[[#This Row],[M3 '[g'] PESO CRISOL+MUESTRA (SECA)]]),ISBLANK(Tabla1[[#This Row],[M1 '[g']]]),ISBLANK(Tabla1[[#This Row],[M4 '[g']  PESO CRISOL + CENIZAS]]),ISBLANK(Tabla1[[#This Row],[M5]])),"",Tabla1[[#This Row],[M3 '[g'] PESO CRISOL+MUESTRA (SECA)]]-Tabla1[[#This Row],[M1 '[g']]]-Tabla1[[#This Row],[M4 '[g']  PESO CRISOL + CENIZAS]]-Tabla1[[#This Row],[M5]])</f>
        <v>8.8400000000000034E-2</v>
      </c>
      <c r="K57" s="407">
        <f>IF(OR(ISBLANK(Tabla1[[#This Row],[M3 '[g'] PESO CRISOL+MUESTRA (SECA)]]),ISBLANK(Tabla1[[#This Row],[M1 '[g']]]),ISBLANK(Tabla1[[#This Row],[M4 '[g']  PESO CRISOL + CENIZAS]])),"",Tabla1[[#This Row],[M3 '[g'] PESO CRISOL+MUESTRA (SECA)]]-Tabla1[[#This Row],[M1 '[g']]]-Tabla1[[#This Row],[M4 '[g']  PESO CRISOL + CENIZAS]])</f>
        <v>9.0500000000002245E-2</v>
      </c>
      <c r="L57" s="407">
        <f>IF(ISNUMBER(Tabla1[[#This Row],[%FIBRA TOTAL]]),Tabla1[[#This Row],[%FIBRA TOTAL]]*(100-Tabla1[[#This Row],[%Grasa y/o % humedad En la Muestra g/100g]])/100,"")</f>
        <v>6.1757200000001532E-2</v>
      </c>
      <c r="M57" s="393">
        <v>31.76</v>
      </c>
      <c r="N57" s="399" t="s">
        <v>1231</v>
      </c>
      <c r="O57" s="411" t="s">
        <v>1217</v>
      </c>
      <c r="P57" s="412" t="s">
        <v>1335</v>
      </c>
      <c r="Q57" s="413" t="s">
        <v>1246</v>
      </c>
      <c r="R57" s="414"/>
    </row>
    <row r="58" spans="1:18" ht="15.75" customHeight="1" x14ac:dyDescent="0.3">
      <c r="A58" s="397">
        <v>44279</v>
      </c>
      <c r="B58" s="398" t="s">
        <v>897</v>
      </c>
      <c r="C58" s="399" t="s">
        <v>1247</v>
      </c>
      <c r="D58" s="399" t="s">
        <v>1271</v>
      </c>
      <c r="E58" s="399">
        <v>0.2601</v>
      </c>
      <c r="F58" s="399">
        <v>1.0093000000000001</v>
      </c>
      <c r="G58" s="400">
        <v>26.087199999999999</v>
      </c>
      <c r="H58" s="400">
        <v>25.659199999999998</v>
      </c>
      <c r="I58" s="400">
        <v>2.1000000000022112E-3</v>
      </c>
      <c r="J58" s="406">
        <f>IF(OR(ISBLANK(Tabla1[[#This Row],[M3 '[g'] PESO CRISOL+MUESTRA (SECA)]]),ISBLANK(Tabla1[[#This Row],[M1 '[g']]]),ISBLANK(Tabla1[[#This Row],[M4 '[g']  PESO CRISOL + CENIZAS]]),ISBLANK(Tabla1[[#This Row],[M5]])),"",Tabla1[[#This Row],[M3 '[g'] PESO CRISOL+MUESTRA (SECA)]]-Tabla1[[#This Row],[M1 '[g']]]-Tabla1[[#This Row],[M4 '[g']  PESO CRISOL + CENIZAS]]-Tabla1[[#This Row],[M5]])</f>
        <v>0.16579999999999728</v>
      </c>
      <c r="K58" s="407">
        <f>IF(OR(ISBLANK(Tabla1[[#This Row],[M3 '[g'] PESO CRISOL+MUESTRA (SECA)]]),ISBLANK(Tabla1[[#This Row],[M1 '[g']]]),ISBLANK(Tabla1[[#This Row],[M4 '[g']  PESO CRISOL + CENIZAS]])),"",Tabla1[[#This Row],[M3 '[g'] PESO CRISOL+MUESTRA (SECA)]]-Tabla1[[#This Row],[M1 '[g']]]-Tabla1[[#This Row],[M4 '[g']  PESO CRISOL + CENIZAS]])</f>
        <v>0.16789999999999949</v>
      </c>
      <c r="L58" s="407">
        <f>IF(ISNUMBER(Tabla1[[#This Row],[%FIBRA TOTAL]]),Tabla1[[#This Row],[%FIBRA TOTAL]]*(100-Tabla1[[#This Row],[%Grasa y/o % humedad En la Muestra g/100g]])/100,"")</f>
        <v>5.6733409999999838E-2</v>
      </c>
      <c r="M58" s="393">
        <v>66.209999999999994</v>
      </c>
      <c r="N58" s="399" t="s">
        <v>1231</v>
      </c>
      <c r="O58" s="411" t="s">
        <v>1217</v>
      </c>
      <c r="P58" s="412" t="s">
        <v>1335</v>
      </c>
      <c r="Q58" s="413" t="s">
        <v>1246</v>
      </c>
      <c r="R58" s="414"/>
    </row>
    <row r="59" spans="1:18" ht="15.75" customHeight="1" x14ac:dyDescent="0.3">
      <c r="A59" s="397">
        <v>44279</v>
      </c>
      <c r="B59" s="398" t="s">
        <v>897</v>
      </c>
      <c r="C59" s="399" t="s">
        <v>1247</v>
      </c>
      <c r="D59" s="399" t="s">
        <v>1269</v>
      </c>
      <c r="E59" s="399">
        <v>0.2601</v>
      </c>
      <c r="F59" s="399">
        <v>1.0019</v>
      </c>
      <c r="G59" s="400">
        <v>26.446000000000002</v>
      </c>
      <c r="H59" s="400">
        <v>26</v>
      </c>
      <c r="I59" s="400">
        <v>2.1000000000022112E-3</v>
      </c>
      <c r="J59" s="406">
        <f>IF(OR(ISBLANK(Tabla1[[#This Row],[M3 '[g'] PESO CRISOL+MUESTRA (SECA)]]),ISBLANK(Tabla1[[#This Row],[M1 '[g']]]),ISBLANK(Tabla1[[#This Row],[M4 '[g']  PESO CRISOL + CENIZAS]]),ISBLANK(Tabla1[[#This Row],[M5]])),"",Tabla1[[#This Row],[M3 '[g'] PESO CRISOL+MUESTRA (SECA)]]-Tabla1[[#This Row],[M1 '[g']]]-Tabla1[[#This Row],[M4 '[g']  PESO CRISOL + CENIZAS]]-Tabla1[[#This Row],[M5]])</f>
        <v>0.18379999999999797</v>
      </c>
      <c r="K59" s="407">
        <f>IF(OR(ISBLANK(Tabla1[[#This Row],[M3 '[g'] PESO CRISOL+MUESTRA (SECA)]]),ISBLANK(Tabla1[[#This Row],[M1 '[g']]]),ISBLANK(Tabla1[[#This Row],[M4 '[g']  PESO CRISOL + CENIZAS]])),"",Tabla1[[#This Row],[M3 '[g'] PESO CRISOL+MUESTRA (SECA)]]-Tabla1[[#This Row],[M1 '[g']]]-Tabla1[[#This Row],[M4 '[g']  PESO CRISOL + CENIZAS]])</f>
        <v>0.18590000000000018</v>
      </c>
      <c r="L59" s="407">
        <f>IF(ISNUMBER(Tabla1[[#This Row],[%FIBRA TOTAL]]),Tabla1[[#This Row],[%FIBRA TOTAL]]*(100-Tabla1[[#This Row],[%Grasa y/o % humedad En la Muestra g/100g]])/100,"")</f>
        <v>6.2815610000000077E-2</v>
      </c>
      <c r="M59" s="393">
        <v>66.209999999999994</v>
      </c>
      <c r="N59" s="399" t="s">
        <v>1231</v>
      </c>
      <c r="O59" s="411" t="s">
        <v>1217</v>
      </c>
      <c r="P59" s="412" t="s">
        <v>1335</v>
      </c>
      <c r="Q59" s="413" t="s">
        <v>1246</v>
      </c>
      <c r="R59" s="414"/>
    </row>
    <row r="60" spans="1:18" ht="15.75" customHeight="1" x14ac:dyDescent="0.3">
      <c r="A60" s="397">
        <v>44279</v>
      </c>
      <c r="B60" s="398" t="s">
        <v>1307</v>
      </c>
      <c r="C60" s="399" t="s">
        <v>1248</v>
      </c>
      <c r="D60" s="399" t="s">
        <v>1271</v>
      </c>
      <c r="E60" s="399">
        <v>0.26040000000000002</v>
      </c>
      <c r="F60" s="399">
        <v>1.0342</v>
      </c>
      <c r="G60" s="400">
        <v>26.2225</v>
      </c>
      <c r="H60" s="400">
        <v>25.719000000000001</v>
      </c>
      <c r="I60" s="400">
        <v>2.1000000000022112E-3</v>
      </c>
      <c r="J60" s="406">
        <f>IF(OR(ISBLANK(Tabla1[[#This Row],[M3 '[g'] PESO CRISOL+MUESTRA (SECA)]]),ISBLANK(Tabla1[[#This Row],[M1 '[g']]]),ISBLANK(Tabla1[[#This Row],[M4 '[g']  PESO CRISOL + CENIZAS]]),ISBLANK(Tabla1[[#This Row],[M5]])),"",Tabla1[[#This Row],[M3 '[g'] PESO CRISOL+MUESTRA (SECA)]]-Tabla1[[#This Row],[M1 '[g']]]-Tabla1[[#This Row],[M4 '[g']  PESO CRISOL + CENIZAS]]-Tabla1[[#This Row],[M5]])</f>
        <v>0.24099999999999611</v>
      </c>
      <c r="K60" s="407">
        <f>IF(OR(ISBLANK(Tabla1[[#This Row],[M3 '[g'] PESO CRISOL+MUESTRA (SECA)]]),ISBLANK(Tabla1[[#This Row],[M1 '[g']]]),ISBLANK(Tabla1[[#This Row],[M4 '[g']  PESO CRISOL + CENIZAS]])),"",Tabla1[[#This Row],[M3 '[g'] PESO CRISOL+MUESTRA (SECA)]]-Tabla1[[#This Row],[M1 '[g']]]-Tabla1[[#This Row],[M4 '[g']  PESO CRISOL + CENIZAS]])</f>
        <v>0.24309999999999832</v>
      </c>
      <c r="L60" s="407">
        <f>IF(ISNUMBER(Tabla1[[#This Row],[%FIBRA TOTAL]]),Tabla1[[#This Row],[%FIBRA TOTAL]]*(100-Tabla1[[#This Row],[%Grasa y/o % humedad En la Muestra g/100g]])/100,"")</f>
        <v>7.7864929999999472E-2</v>
      </c>
      <c r="M60" s="393">
        <v>67.97</v>
      </c>
      <c r="N60" s="399" t="s">
        <v>1231</v>
      </c>
      <c r="O60" s="411" t="s">
        <v>1217</v>
      </c>
      <c r="P60" s="412" t="s">
        <v>1335</v>
      </c>
      <c r="Q60" s="413" t="s">
        <v>1246</v>
      </c>
      <c r="R60" s="414"/>
    </row>
    <row r="61" spans="1:18" ht="15.75" customHeight="1" x14ac:dyDescent="0.3">
      <c r="A61" s="397">
        <v>44279</v>
      </c>
      <c r="B61" s="398" t="s">
        <v>1307</v>
      </c>
      <c r="C61" s="399" t="s">
        <v>1248</v>
      </c>
      <c r="D61" s="399" t="s">
        <v>1269</v>
      </c>
      <c r="E61" s="399">
        <v>0.25869999999999999</v>
      </c>
      <c r="F61" s="399">
        <v>1.0241</v>
      </c>
      <c r="G61" s="400">
        <v>22.59</v>
      </c>
      <c r="H61" s="400">
        <v>22.0991</v>
      </c>
      <c r="I61" s="400">
        <v>2.1000000000022112E-3</v>
      </c>
      <c r="J61" s="406">
        <f>IF(OR(ISBLANK(Tabla1[[#This Row],[M3 '[g'] PESO CRISOL+MUESTRA (SECA)]]),ISBLANK(Tabla1[[#This Row],[M1 '[g']]]),ISBLANK(Tabla1[[#This Row],[M4 '[g']  PESO CRISOL + CENIZAS]]),ISBLANK(Tabla1[[#This Row],[M5]])),"",Tabla1[[#This Row],[M3 '[g'] PESO CRISOL+MUESTRA (SECA)]]-Tabla1[[#This Row],[M1 '[g']]]-Tabla1[[#This Row],[M4 '[g']  PESO CRISOL + CENIZAS]]-Tabla1[[#This Row],[M5]])</f>
        <v>0.23009999999999664</v>
      </c>
      <c r="K61" s="407">
        <f>IF(OR(ISBLANK(Tabla1[[#This Row],[M3 '[g'] PESO CRISOL+MUESTRA (SECA)]]),ISBLANK(Tabla1[[#This Row],[M1 '[g']]]),ISBLANK(Tabla1[[#This Row],[M4 '[g']  PESO CRISOL + CENIZAS]])),"",Tabla1[[#This Row],[M3 '[g'] PESO CRISOL+MUESTRA (SECA)]]-Tabla1[[#This Row],[M1 '[g']]]-Tabla1[[#This Row],[M4 '[g']  PESO CRISOL + CENIZAS]])</f>
        <v>0.23219999999999885</v>
      </c>
      <c r="L61" s="407">
        <f>IF(ISNUMBER(Tabla1[[#This Row],[%FIBRA TOTAL]]),Tabla1[[#This Row],[%FIBRA TOTAL]]*(100-Tabla1[[#This Row],[%Grasa y/o % humedad En la Muestra g/100g]])/100,"")</f>
        <v>7.4373659999999633E-2</v>
      </c>
      <c r="M61" s="393">
        <v>67.97</v>
      </c>
      <c r="N61" s="399" t="s">
        <v>1231</v>
      </c>
      <c r="O61" s="411" t="s">
        <v>1217</v>
      </c>
      <c r="P61" s="412" t="s">
        <v>1335</v>
      </c>
      <c r="Q61" s="413" t="s">
        <v>1246</v>
      </c>
      <c r="R61" s="414"/>
    </row>
    <row r="62" spans="1:18" ht="15.75" customHeight="1" x14ac:dyDescent="0.3">
      <c r="A62" s="397">
        <v>44289</v>
      </c>
      <c r="B62" s="398" t="s">
        <v>911</v>
      </c>
      <c r="C62" s="399" t="s">
        <v>1244</v>
      </c>
      <c r="D62" s="399" t="s">
        <v>1271</v>
      </c>
      <c r="E62" s="399">
        <v>0.26090000000000002</v>
      </c>
      <c r="F62" s="399">
        <v>1.006</v>
      </c>
      <c r="G62" s="400">
        <v>25.884499999999999</v>
      </c>
      <c r="H62" s="400">
        <v>25.564599999999999</v>
      </c>
      <c r="I62" s="400">
        <v>2.1000000000022112E-3</v>
      </c>
      <c r="J62" s="406">
        <f>IF(OR(ISBLANK(Tabla1[[#This Row],[M3 '[g'] PESO CRISOL+MUESTRA (SECA)]]),ISBLANK(Tabla1[[#This Row],[M1 '[g']]]),ISBLANK(Tabla1[[#This Row],[M4 '[g']  PESO CRISOL + CENIZAS]]),ISBLANK(Tabla1[[#This Row],[M5]])),"",Tabla1[[#This Row],[M3 '[g'] PESO CRISOL+MUESTRA (SECA)]]-Tabla1[[#This Row],[M1 '[g']]]-Tabla1[[#This Row],[M4 '[g']  PESO CRISOL + CENIZAS]]-Tabla1[[#This Row],[M5]])</f>
        <v>5.689999999999884E-2</v>
      </c>
      <c r="K62" s="407">
        <f>IF(OR(ISBLANK(Tabla1[[#This Row],[M3 '[g'] PESO CRISOL+MUESTRA (SECA)]]),ISBLANK(Tabla1[[#This Row],[M1 '[g']]]),ISBLANK(Tabla1[[#This Row],[M4 '[g']  PESO CRISOL + CENIZAS]])),"",Tabla1[[#This Row],[M3 '[g'] PESO CRISOL+MUESTRA (SECA)]]-Tabla1[[#This Row],[M1 '[g']]]-Tabla1[[#This Row],[M4 '[g']  PESO CRISOL + CENIZAS]])</f>
        <v>5.9000000000001052E-2</v>
      </c>
      <c r="L62" s="407">
        <f>IF(ISNUMBER(Tabla1[[#This Row],[%FIBRA TOTAL]]),Tabla1[[#This Row],[%FIBRA TOTAL]]*(100-Tabla1[[#This Row],[%Grasa y/o % humedad En la Muestra g/100g]])/100,"")</f>
        <v>1.7369600000000308E-2</v>
      </c>
      <c r="M62" s="393">
        <v>70.56</v>
      </c>
      <c r="N62" s="399" t="s">
        <v>1231</v>
      </c>
      <c r="O62" s="411" t="s">
        <v>1217</v>
      </c>
      <c r="P62" s="412" t="s">
        <v>1335</v>
      </c>
      <c r="Q62" s="413" t="s">
        <v>1249</v>
      </c>
      <c r="R62" s="414"/>
    </row>
    <row r="63" spans="1:18" ht="15.75" customHeight="1" x14ac:dyDescent="0.3">
      <c r="A63" s="397">
        <v>44289</v>
      </c>
      <c r="B63" s="398" t="s">
        <v>911</v>
      </c>
      <c r="C63" s="399" t="s">
        <v>1244</v>
      </c>
      <c r="D63" s="399" t="s">
        <v>1269</v>
      </c>
      <c r="E63" s="399">
        <v>0.26090000000000002</v>
      </c>
      <c r="F63" s="399">
        <v>1</v>
      </c>
      <c r="G63" s="400">
        <v>22.880400000000002</v>
      </c>
      <c r="H63" s="400">
        <v>22.561299999999999</v>
      </c>
      <c r="I63" s="400">
        <v>2.1000000000022112E-3</v>
      </c>
      <c r="J63" s="406">
        <f>IF(OR(ISBLANK(Tabla1[[#This Row],[M3 '[g'] PESO CRISOL+MUESTRA (SECA)]]),ISBLANK(Tabla1[[#This Row],[M1 '[g']]]),ISBLANK(Tabla1[[#This Row],[M4 '[g']  PESO CRISOL + CENIZAS]]),ISBLANK(Tabla1[[#This Row],[M5]])),"",Tabla1[[#This Row],[M3 '[g'] PESO CRISOL+MUESTRA (SECA)]]-Tabla1[[#This Row],[M1 '[g']]]-Tabla1[[#This Row],[M4 '[g']  PESO CRISOL + CENIZAS]]-Tabla1[[#This Row],[M5]])</f>
        <v>5.6100000000000705E-2</v>
      </c>
      <c r="K63" s="407">
        <f>IF(OR(ISBLANK(Tabla1[[#This Row],[M3 '[g'] PESO CRISOL+MUESTRA (SECA)]]),ISBLANK(Tabla1[[#This Row],[M1 '[g']]]),ISBLANK(Tabla1[[#This Row],[M4 '[g']  PESO CRISOL + CENIZAS]])),"",Tabla1[[#This Row],[M3 '[g'] PESO CRISOL+MUESTRA (SECA)]]-Tabla1[[#This Row],[M1 '[g']]]-Tabla1[[#This Row],[M4 '[g']  PESO CRISOL + CENIZAS]])</f>
        <v>5.8200000000002916E-2</v>
      </c>
      <c r="L63" s="407">
        <f>IF(ISNUMBER(Tabla1[[#This Row],[%FIBRA TOTAL]]),Tabla1[[#This Row],[%FIBRA TOTAL]]*(100-Tabla1[[#This Row],[%Grasa y/o % humedad En la Muestra g/100g]])/100,"")</f>
        <v>1.7134080000000856E-2</v>
      </c>
      <c r="M63" s="393">
        <v>70.56</v>
      </c>
      <c r="N63" s="399" t="s">
        <v>1231</v>
      </c>
      <c r="O63" s="411" t="s">
        <v>1217</v>
      </c>
      <c r="P63" s="412" t="s">
        <v>1335</v>
      </c>
      <c r="Q63" s="413" t="s">
        <v>1249</v>
      </c>
      <c r="R63" s="414"/>
    </row>
    <row r="64" spans="1:18" ht="15.75" customHeight="1" x14ac:dyDescent="0.3">
      <c r="A64" s="397">
        <v>44300</v>
      </c>
      <c r="B64" s="398" t="s">
        <v>905</v>
      </c>
      <c r="C64" s="399" t="s">
        <v>1250</v>
      </c>
      <c r="D64" s="399" t="s">
        <v>1271</v>
      </c>
      <c r="E64" s="399">
        <v>0.2576</v>
      </c>
      <c r="F64" s="399">
        <v>1.0173000000000001</v>
      </c>
      <c r="G64" s="400">
        <v>21.389199999999999</v>
      </c>
      <c r="H64" s="400">
        <v>21.086600000000001</v>
      </c>
      <c r="I64" s="400">
        <v>2.1000000000022112E-3</v>
      </c>
      <c r="J64" s="406">
        <f>IF(OR(ISBLANK(Tabla1[[#This Row],[M3 '[g'] PESO CRISOL+MUESTRA (SECA)]]),ISBLANK(Tabla1[[#This Row],[M1 '[g']]]),ISBLANK(Tabla1[[#This Row],[M4 '[g']  PESO CRISOL + CENIZAS]]),ISBLANK(Tabla1[[#This Row],[M5]])),"",Tabla1[[#This Row],[M3 '[g'] PESO CRISOL+MUESTRA (SECA)]]-Tabla1[[#This Row],[M1 '[g']]]-Tabla1[[#This Row],[M4 '[g']  PESO CRISOL + CENIZAS]]-Tabla1[[#This Row],[M5]])</f>
        <v>4.2899999999995941E-2</v>
      </c>
      <c r="K64" s="407">
        <f>IF(OR(ISBLANK(Tabla1[[#This Row],[M3 '[g'] PESO CRISOL+MUESTRA (SECA)]]),ISBLANK(Tabla1[[#This Row],[M1 '[g']]]),ISBLANK(Tabla1[[#This Row],[M4 '[g']  PESO CRISOL + CENIZAS]])),"",Tabla1[[#This Row],[M3 '[g'] PESO CRISOL+MUESTRA (SECA)]]-Tabla1[[#This Row],[M1 '[g']]]-Tabla1[[#This Row],[M4 '[g']  PESO CRISOL + CENIZAS]])</f>
        <v>4.4999999999998153E-2</v>
      </c>
      <c r="L64" s="407">
        <f>IF(ISNUMBER(Tabla1[[#This Row],[%FIBRA TOTAL]]),Tabla1[[#This Row],[%FIBRA TOTAL]]*(100-Tabla1[[#This Row],[%Grasa y/o % humedad En la Muestra g/100g]])/100,"")</f>
        <v>4.9319999999997951E-3</v>
      </c>
      <c r="M64" s="393">
        <v>89.04</v>
      </c>
      <c r="N64" s="399" t="s">
        <v>1231</v>
      </c>
      <c r="O64" s="411" t="s">
        <v>1217</v>
      </c>
      <c r="P64" s="412" t="s">
        <v>1335</v>
      </c>
      <c r="Q64" s="413" t="s">
        <v>1254</v>
      </c>
      <c r="R64" s="414"/>
    </row>
    <row r="65" spans="1:18" ht="15.75" customHeight="1" x14ac:dyDescent="0.3">
      <c r="A65" s="397">
        <v>44300</v>
      </c>
      <c r="B65" s="398" t="s">
        <v>905</v>
      </c>
      <c r="C65" s="399" t="s">
        <v>1250</v>
      </c>
      <c r="D65" s="399" t="s">
        <v>1269</v>
      </c>
      <c r="E65" s="399">
        <v>0.25769999999999998</v>
      </c>
      <c r="F65" s="399">
        <v>1.0350999999999999</v>
      </c>
      <c r="G65" s="400">
        <v>22.4</v>
      </c>
      <c r="H65" s="400">
        <v>22.101400000000002</v>
      </c>
      <c r="I65" s="400">
        <v>2.1000000000022112E-3</v>
      </c>
      <c r="J65" s="406">
        <f>IF(OR(ISBLANK(Tabla1[[#This Row],[M3 '[g'] PESO CRISOL+MUESTRA (SECA)]]),ISBLANK(Tabla1[[#This Row],[M1 '[g']]]),ISBLANK(Tabla1[[#This Row],[M4 '[g']  PESO CRISOL + CENIZAS]]),ISBLANK(Tabla1[[#This Row],[M5]])),"",Tabla1[[#This Row],[M3 '[g'] PESO CRISOL+MUESTRA (SECA)]]-Tabla1[[#This Row],[M1 '[g']]]-Tabla1[[#This Row],[M4 '[g']  PESO CRISOL + CENIZAS]]-Tabla1[[#This Row],[M5]])</f>
        <v>3.8799999999994839E-2</v>
      </c>
      <c r="K65" s="407">
        <f>IF(OR(ISBLANK(Tabla1[[#This Row],[M3 '[g'] PESO CRISOL+MUESTRA (SECA)]]),ISBLANK(Tabla1[[#This Row],[M1 '[g']]]),ISBLANK(Tabla1[[#This Row],[M4 '[g']  PESO CRISOL + CENIZAS]])),"",Tabla1[[#This Row],[M3 '[g'] PESO CRISOL+MUESTRA (SECA)]]-Tabla1[[#This Row],[M1 '[g']]]-Tabla1[[#This Row],[M4 '[g']  PESO CRISOL + CENIZAS]])</f>
        <v>4.089999999999705E-2</v>
      </c>
      <c r="L65" s="407">
        <f>IF(ISNUMBER(Tabla1[[#This Row],[%FIBRA TOTAL]]),Tabla1[[#This Row],[%FIBRA TOTAL]]*(100-Tabla1[[#This Row],[%Grasa y/o % humedad En la Muestra g/100g]])/100,"")</f>
        <v>4.4826399999996743E-3</v>
      </c>
      <c r="M65" s="393">
        <v>89.04</v>
      </c>
      <c r="N65" s="399" t="s">
        <v>1231</v>
      </c>
      <c r="O65" s="411" t="s">
        <v>1217</v>
      </c>
      <c r="P65" s="412" t="s">
        <v>1335</v>
      </c>
      <c r="Q65" s="413" t="s">
        <v>1254</v>
      </c>
      <c r="R65" s="414"/>
    </row>
    <row r="66" spans="1:18" ht="15.75" customHeight="1" x14ac:dyDescent="0.3">
      <c r="A66" s="397">
        <v>44300</v>
      </c>
      <c r="B66" s="398" t="s">
        <v>897</v>
      </c>
      <c r="C66" s="399" t="s">
        <v>1251</v>
      </c>
      <c r="D66" s="399" t="s">
        <v>1271</v>
      </c>
      <c r="E66" s="399">
        <v>0.2576</v>
      </c>
      <c r="F66" s="399">
        <v>1.034</v>
      </c>
      <c r="G66" s="400">
        <v>26.400099999999998</v>
      </c>
      <c r="H66" s="400">
        <v>26.069400000000002</v>
      </c>
      <c r="I66" s="400">
        <v>2.1000000000022112E-3</v>
      </c>
      <c r="J66" s="406">
        <f>IF(OR(ISBLANK(Tabla1[[#This Row],[M3 '[g'] PESO CRISOL+MUESTRA (SECA)]]),ISBLANK(Tabla1[[#This Row],[M1 '[g']]]),ISBLANK(Tabla1[[#This Row],[M4 '[g']  PESO CRISOL + CENIZAS]]),ISBLANK(Tabla1[[#This Row],[M5]])),"",Tabla1[[#This Row],[M3 '[g'] PESO CRISOL+MUESTRA (SECA)]]-Tabla1[[#This Row],[M1 '[g']]]-Tabla1[[#This Row],[M4 '[g']  PESO CRISOL + CENIZAS]]-Tabla1[[#This Row],[M5]])</f>
        <v>7.0999999999994401E-2</v>
      </c>
      <c r="K66" s="407">
        <f>IF(OR(ISBLANK(Tabla1[[#This Row],[M3 '[g'] PESO CRISOL+MUESTRA (SECA)]]),ISBLANK(Tabla1[[#This Row],[M1 '[g']]]),ISBLANK(Tabla1[[#This Row],[M4 '[g']  PESO CRISOL + CENIZAS]])),"",Tabla1[[#This Row],[M3 '[g'] PESO CRISOL+MUESTRA (SECA)]]-Tabla1[[#This Row],[M1 '[g']]]-Tabla1[[#This Row],[M4 '[g']  PESO CRISOL + CENIZAS]])</f>
        <v>7.3099999999996612E-2</v>
      </c>
      <c r="L66" s="407">
        <f>IF(ISNUMBER(Tabla1[[#This Row],[%FIBRA TOTAL]]),Tabla1[[#This Row],[%FIBRA TOTAL]]*(100-Tabla1[[#This Row],[%Grasa y/o % humedad En la Muestra g/100g]])/100,"")</f>
        <v>7.3099999999996612E-2</v>
      </c>
      <c r="M66" s="393"/>
      <c r="N66" s="399" t="s">
        <v>1231</v>
      </c>
      <c r="O66" s="411" t="s">
        <v>1217</v>
      </c>
      <c r="P66" s="412" t="s">
        <v>1335</v>
      </c>
      <c r="Q66" s="413" t="s">
        <v>1254</v>
      </c>
      <c r="R66" s="413" t="s">
        <v>1239</v>
      </c>
    </row>
    <row r="67" spans="1:18" ht="15.75" customHeight="1" x14ac:dyDescent="0.3">
      <c r="A67" s="397">
        <v>44300</v>
      </c>
      <c r="B67" s="398" t="s">
        <v>897</v>
      </c>
      <c r="C67" s="399" t="s">
        <v>1251</v>
      </c>
      <c r="D67" s="399" t="s">
        <v>1269</v>
      </c>
      <c r="E67" s="399">
        <v>0.25800000000000001</v>
      </c>
      <c r="F67" s="399">
        <v>1.0119</v>
      </c>
      <c r="G67" s="400">
        <v>26.060400000000001</v>
      </c>
      <c r="H67" s="400">
        <v>25.729900000000001</v>
      </c>
      <c r="I67" s="400">
        <v>2.1000000000022112E-3</v>
      </c>
      <c r="J67" s="406">
        <f>IF(OR(ISBLANK(Tabla1[[#This Row],[M3 '[g'] PESO CRISOL+MUESTRA (SECA)]]),ISBLANK(Tabla1[[#This Row],[M1 '[g']]]),ISBLANK(Tabla1[[#This Row],[M4 '[g']  PESO CRISOL + CENIZAS]]),ISBLANK(Tabla1[[#This Row],[M5]])),"",Tabla1[[#This Row],[M3 '[g'] PESO CRISOL+MUESTRA (SECA)]]-Tabla1[[#This Row],[M1 '[g']]]-Tabla1[[#This Row],[M4 '[g']  PESO CRISOL + CENIZAS]]-Tabla1[[#This Row],[M5]])</f>
        <v>7.0399999999999352E-2</v>
      </c>
      <c r="K67" s="407">
        <f>IF(OR(ISBLANK(Tabla1[[#This Row],[M3 '[g'] PESO CRISOL+MUESTRA (SECA)]]),ISBLANK(Tabla1[[#This Row],[M1 '[g']]]),ISBLANK(Tabla1[[#This Row],[M4 '[g']  PESO CRISOL + CENIZAS]])),"",Tabla1[[#This Row],[M3 '[g'] PESO CRISOL+MUESTRA (SECA)]]-Tabla1[[#This Row],[M1 '[g']]]-Tabla1[[#This Row],[M4 '[g']  PESO CRISOL + CENIZAS]])</f>
        <v>7.2500000000001563E-2</v>
      </c>
      <c r="L67" s="407">
        <f>IF(ISNUMBER(Tabla1[[#This Row],[%FIBRA TOTAL]]),Tabla1[[#This Row],[%FIBRA TOTAL]]*(100-Tabla1[[#This Row],[%Grasa y/o % humedad En la Muestra g/100g]])/100,"")</f>
        <v>7.2500000000001563E-2</v>
      </c>
      <c r="M67" s="393"/>
      <c r="N67" s="399" t="s">
        <v>1231</v>
      </c>
      <c r="O67" s="411" t="s">
        <v>1217</v>
      </c>
      <c r="P67" s="412" t="s">
        <v>1335</v>
      </c>
      <c r="Q67" s="413" t="s">
        <v>1254</v>
      </c>
      <c r="R67" s="413" t="s">
        <v>1239</v>
      </c>
    </row>
    <row r="68" spans="1:18" ht="15.75" customHeight="1" x14ac:dyDescent="0.3">
      <c r="A68" s="397">
        <v>44300</v>
      </c>
      <c r="B68" s="398" t="s">
        <v>914</v>
      </c>
      <c r="C68" s="399" t="s">
        <v>1252</v>
      </c>
      <c r="D68" s="399" t="s">
        <v>1271</v>
      </c>
      <c r="E68" s="399">
        <v>0.25779999999999997</v>
      </c>
      <c r="F68" s="399">
        <v>1.0054000000000001</v>
      </c>
      <c r="G68" s="400">
        <v>24.082799999999999</v>
      </c>
      <c r="H68" s="400">
        <v>23.414000000000001</v>
      </c>
      <c r="I68" s="400">
        <v>2.1000000000022112E-3</v>
      </c>
      <c r="J68" s="406">
        <f>IF(OR(ISBLANK(Tabla1[[#This Row],[M3 '[g'] PESO CRISOL+MUESTRA (SECA)]]),ISBLANK(Tabla1[[#This Row],[M1 '[g']]]),ISBLANK(Tabla1[[#This Row],[M4 '[g']  PESO CRISOL + CENIZAS]]),ISBLANK(Tabla1[[#This Row],[M5]])),"",Tabla1[[#This Row],[M3 '[g'] PESO CRISOL+MUESTRA (SECA)]]-Tabla1[[#This Row],[M1 '[g']]]-Tabla1[[#This Row],[M4 '[g']  PESO CRISOL + CENIZAS]]-Tabla1[[#This Row],[M5]])</f>
        <v>0.4088999999999956</v>
      </c>
      <c r="K68" s="407">
        <f>IF(OR(ISBLANK(Tabla1[[#This Row],[M3 '[g'] PESO CRISOL+MUESTRA (SECA)]]),ISBLANK(Tabla1[[#This Row],[M1 '[g']]]),ISBLANK(Tabla1[[#This Row],[M4 '[g']  PESO CRISOL + CENIZAS]])),"",Tabla1[[#This Row],[M3 '[g'] PESO CRISOL+MUESTRA (SECA)]]-Tabla1[[#This Row],[M1 '[g']]]-Tabla1[[#This Row],[M4 '[g']  PESO CRISOL + CENIZAS]])</f>
        <v>0.41099999999999781</v>
      </c>
      <c r="L68" s="407">
        <f>IF(ISNUMBER(Tabla1[[#This Row],[%FIBRA TOTAL]]),Tabla1[[#This Row],[%FIBRA TOTAL]]*(100-Tabla1[[#This Row],[%Grasa y/o % humedad En la Muestra g/100g]])/100,"")</f>
        <v>0.2198849999999988</v>
      </c>
      <c r="M68" s="393">
        <v>46.5</v>
      </c>
      <c r="N68" s="399" t="s">
        <v>1231</v>
      </c>
      <c r="O68" s="411" t="s">
        <v>1217</v>
      </c>
      <c r="P68" s="412" t="s">
        <v>1335</v>
      </c>
      <c r="Q68" s="413" t="s">
        <v>1254</v>
      </c>
      <c r="R68" s="414"/>
    </row>
    <row r="69" spans="1:18" ht="15.75" customHeight="1" x14ac:dyDescent="0.3">
      <c r="A69" s="397">
        <v>44300</v>
      </c>
      <c r="B69" s="398" t="s">
        <v>914</v>
      </c>
      <c r="C69" s="399" t="s">
        <v>1252</v>
      </c>
      <c r="D69" s="399" t="s">
        <v>1269</v>
      </c>
      <c r="E69" s="399">
        <v>0.25729999999999997</v>
      </c>
      <c r="F69" s="399">
        <v>1.0237000000000001</v>
      </c>
      <c r="G69" s="400">
        <v>22.341799999999999</v>
      </c>
      <c r="H69" s="400">
        <v>21.677099999999999</v>
      </c>
      <c r="I69" s="400">
        <v>2.1000000000022112E-3</v>
      </c>
      <c r="J69" s="406">
        <f>IF(OR(ISBLANK(Tabla1[[#This Row],[M3 '[g'] PESO CRISOL+MUESTRA (SECA)]]),ISBLANK(Tabla1[[#This Row],[M1 '[g']]]),ISBLANK(Tabla1[[#This Row],[M4 '[g']  PESO CRISOL + CENIZAS]]),ISBLANK(Tabla1[[#This Row],[M5]])),"",Tabla1[[#This Row],[M3 '[g'] PESO CRISOL+MUESTRA (SECA)]]-Tabla1[[#This Row],[M1 '[g']]]-Tabla1[[#This Row],[M4 '[g']  PESO CRISOL + CENIZAS]]-Tabla1[[#This Row],[M5]])</f>
        <v>0.40529999999999688</v>
      </c>
      <c r="K69" s="407">
        <f>IF(OR(ISBLANK(Tabla1[[#This Row],[M3 '[g'] PESO CRISOL+MUESTRA (SECA)]]),ISBLANK(Tabla1[[#This Row],[M1 '[g']]]),ISBLANK(Tabla1[[#This Row],[M4 '[g']  PESO CRISOL + CENIZAS]])),"",Tabla1[[#This Row],[M3 '[g'] PESO CRISOL+MUESTRA (SECA)]]-Tabla1[[#This Row],[M1 '[g']]]-Tabla1[[#This Row],[M4 '[g']  PESO CRISOL + CENIZAS]])</f>
        <v>0.4073999999999991</v>
      </c>
      <c r="L69" s="407">
        <f>IF(ISNUMBER(Tabla1[[#This Row],[%FIBRA TOTAL]]),Tabla1[[#This Row],[%FIBRA TOTAL]]*(100-Tabla1[[#This Row],[%Grasa y/o % humedad En la Muestra g/100g]])/100,"")</f>
        <v>0.21795899999999954</v>
      </c>
      <c r="M69" s="393">
        <v>46.5</v>
      </c>
      <c r="N69" s="399" t="s">
        <v>1231</v>
      </c>
      <c r="O69" s="411" t="s">
        <v>1217</v>
      </c>
      <c r="P69" s="412" t="s">
        <v>1335</v>
      </c>
      <c r="Q69" s="413" t="s">
        <v>1254</v>
      </c>
      <c r="R69" s="414"/>
    </row>
    <row r="70" spans="1:18" ht="15.75" customHeight="1" x14ac:dyDescent="0.3">
      <c r="A70" s="397">
        <v>44300</v>
      </c>
      <c r="B70" s="398" t="s">
        <v>914</v>
      </c>
      <c r="C70" s="399" t="s">
        <v>1253</v>
      </c>
      <c r="D70" s="399" t="s">
        <v>1271</v>
      </c>
      <c r="E70" s="399">
        <v>0.25679999999999997</v>
      </c>
      <c r="F70" s="399">
        <v>1.0167999999999999</v>
      </c>
      <c r="G70" s="400">
        <v>28.682400000000001</v>
      </c>
      <c r="H70" s="400">
        <v>28.0701</v>
      </c>
      <c r="I70" s="400">
        <v>2.1000000000022112E-3</v>
      </c>
      <c r="J70" s="406">
        <f>IF(OR(ISBLANK(Tabla1[[#This Row],[M3 '[g'] PESO CRISOL+MUESTRA (SECA)]]),ISBLANK(Tabla1[[#This Row],[M1 '[g']]]),ISBLANK(Tabla1[[#This Row],[M4 '[g']  PESO CRISOL + CENIZAS]]),ISBLANK(Tabla1[[#This Row],[M5]])),"",Tabla1[[#This Row],[M3 '[g'] PESO CRISOL+MUESTRA (SECA)]]-Tabla1[[#This Row],[M1 '[g']]]-Tabla1[[#This Row],[M4 '[g']  PESO CRISOL + CENIZAS]]-Tabla1[[#This Row],[M5]])</f>
        <v>0.3534000000000006</v>
      </c>
      <c r="K70" s="407">
        <f>IF(OR(ISBLANK(Tabla1[[#This Row],[M3 '[g'] PESO CRISOL+MUESTRA (SECA)]]),ISBLANK(Tabla1[[#This Row],[M1 '[g']]]),ISBLANK(Tabla1[[#This Row],[M4 '[g']  PESO CRISOL + CENIZAS]])),"",Tabla1[[#This Row],[M3 '[g'] PESO CRISOL+MUESTRA (SECA)]]-Tabla1[[#This Row],[M1 '[g']]]-Tabla1[[#This Row],[M4 '[g']  PESO CRISOL + CENIZAS]])</f>
        <v>0.35550000000000281</v>
      </c>
      <c r="L70" s="407">
        <f>IF(ISNUMBER(Tabla1[[#This Row],[%FIBRA TOTAL]]),Tabla1[[#This Row],[%FIBRA TOTAL]]*(100-Tabla1[[#This Row],[%Grasa y/o % humedad En la Muestra g/100g]])/100,"")</f>
        <v>0.17241750000000139</v>
      </c>
      <c r="M70" s="393">
        <v>51.5</v>
      </c>
      <c r="N70" s="399" t="s">
        <v>1231</v>
      </c>
      <c r="O70" s="411" t="s">
        <v>1217</v>
      </c>
      <c r="P70" s="412" t="s">
        <v>1335</v>
      </c>
      <c r="Q70" s="413" t="s">
        <v>1254</v>
      </c>
      <c r="R70" s="414"/>
    </row>
    <row r="71" spans="1:18" ht="15.75" customHeight="1" x14ac:dyDescent="0.3">
      <c r="A71" s="397">
        <v>44306</v>
      </c>
      <c r="B71" s="398" t="s">
        <v>897</v>
      </c>
      <c r="C71" s="399" t="s">
        <v>1251</v>
      </c>
      <c r="D71" s="399" t="s">
        <v>1271</v>
      </c>
      <c r="E71" s="399">
        <v>0.25069999999999998</v>
      </c>
      <c r="F71" s="399">
        <v>1.0193000000000001</v>
      </c>
      <c r="G71" s="400">
        <v>22.373000000000001</v>
      </c>
      <c r="H71" s="400">
        <v>22.101299999999998</v>
      </c>
      <c r="I71" s="400">
        <v>2.1000000000022112E-3</v>
      </c>
      <c r="J71" s="406">
        <f>IF(OR(ISBLANK(Tabla1[[#This Row],[M3 '[g'] PESO CRISOL+MUESTRA (SECA)]]),ISBLANK(Tabla1[[#This Row],[M1 '[g']]]),ISBLANK(Tabla1[[#This Row],[M4 '[g']  PESO CRISOL + CENIZAS]]),ISBLANK(Tabla1[[#This Row],[M5]])),"",Tabla1[[#This Row],[M3 '[g'] PESO CRISOL+MUESTRA (SECA)]]-Tabla1[[#This Row],[M1 '[g']]]-Tabla1[[#This Row],[M4 '[g']  PESO CRISOL + CENIZAS]]-Tabla1[[#This Row],[M5]])</f>
        <v>1.8900000000002137E-2</v>
      </c>
      <c r="K71" s="407">
        <f>IF(OR(ISBLANK(Tabla1[[#This Row],[M3 '[g'] PESO CRISOL+MUESTRA (SECA)]]),ISBLANK(Tabla1[[#This Row],[M1 '[g']]]),ISBLANK(Tabla1[[#This Row],[M4 '[g']  PESO CRISOL + CENIZAS]])),"",Tabla1[[#This Row],[M3 '[g'] PESO CRISOL+MUESTRA (SECA)]]-Tabla1[[#This Row],[M1 '[g']]]-Tabla1[[#This Row],[M4 '[g']  PESO CRISOL + CENIZAS]])</f>
        <v>2.1000000000004349E-2</v>
      </c>
      <c r="L71" s="407">
        <f>IF(ISNUMBER(Tabla1[[#This Row],[%FIBRA TOTAL]]),Tabla1[[#This Row],[%FIBRA TOTAL]]*(100-Tabla1[[#This Row],[%Grasa y/o % humedad En la Muestra g/100g]])/100,"")</f>
        <v>8.2089000000017016E-3</v>
      </c>
      <c r="M71" s="393">
        <v>60.91</v>
      </c>
      <c r="N71" s="399" t="s">
        <v>1231</v>
      </c>
      <c r="O71" s="411" t="s">
        <v>1217</v>
      </c>
      <c r="P71" s="412" t="s">
        <v>1335</v>
      </c>
      <c r="Q71" s="413" t="s">
        <v>1257</v>
      </c>
      <c r="R71" s="414"/>
    </row>
    <row r="72" spans="1:18" ht="15.75" customHeight="1" x14ac:dyDescent="0.3">
      <c r="A72" s="397">
        <v>44306</v>
      </c>
      <c r="B72" s="398" t="s">
        <v>1255</v>
      </c>
      <c r="C72" s="399" t="s">
        <v>1251</v>
      </c>
      <c r="D72" s="399" t="s">
        <v>1269</v>
      </c>
      <c r="E72" s="399">
        <v>0.25309999999999999</v>
      </c>
      <c r="F72" s="399">
        <v>1.0099</v>
      </c>
      <c r="G72" s="400">
        <v>22.776399999999999</v>
      </c>
      <c r="H72" s="400">
        <v>22.504100000000001</v>
      </c>
      <c r="I72" s="400">
        <v>2.1000000000022112E-3</v>
      </c>
      <c r="J72" s="406">
        <f>IF(OR(ISBLANK(Tabla1[[#This Row],[M3 '[g'] PESO CRISOL+MUESTRA (SECA)]]),ISBLANK(Tabla1[[#This Row],[M1 '[g']]]),ISBLANK(Tabla1[[#This Row],[M4 '[g']  PESO CRISOL + CENIZAS]]),ISBLANK(Tabla1[[#This Row],[M5]])),"",Tabla1[[#This Row],[M3 '[g'] PESO CRISOL+MUESTRA (SECA)]]-Tabla1[[#This Row],[M1 '[g']]]-Tabla1[[#This Row],[M4 '[g']  PESO CRISOL + CENIZAS]]-Tabla1[[#This Row],[M5]])</f>
        <v>1.7099999999995674E-2</v>
      </c>
      <c r="K72" s="407">
        <f>IF(OR(ISBLANK(Tabla1[[#This Row],[M3 '[g'] PESO CRISOL+MUESTRA (SECA)]]),ISBLANK(Tabla1[[#This Row],[M1 '[g']]]),ISBLANK(Tabla1[[#This Row],[M4 '[g']  PESO CRISOL + CENIZAS]])),"",Tabla1[[#This Row],[M3 '[g'] PESO CRISOL+MUESTRA (SECA)]]-Tabla1[[#This Row],[M1 '[g']]]-Tabla1[[#This Row],[M4 '[g']  PESO CRISOL + CENIZAS]])</f>
        <v>1.9199999999997885E-2</v>
      </c>
      <c r="L72" s="407">
        <f>IF(ISNUMBER(Tabla1[[#This Row],[%FIBRA TOTAL]]),Tabla1[[#This Row],[%FIBRA TOTAL]]*(100-Tabla1[[#This Row],[%Grasa y/o % humedad En la Muestra g/100g]])/100,"")</f>
        <v>7.5052799999991739E-3</v>
      </c>
      <c r="M72" s="393">
        <v>60.91</v>
      </c>
      <c r="N72" s="399" t="s">
        <v>1231</v>
      </c>
      <c r="O72" s="411" t="s">
        <v>1217</v>
      </c>
      <c r="P72" s="412" t="s">
        <v>1335</v>
      </c>
      <c r="Q72" s="413" t="s">
        <v>1257</v>
      </c>
      <c r="R72" s="414"/>
    </row>
    <row r="73" spans="1:18" ht="15.75" customHeight="1" x14ac:dyDescent="0.3">
      <c r="A73" s="397">
        <v>44306</v>
      </c>
      <c r="B73" s="398" t="s">
        <v>905</v>
      </c>
      <c r="C73" s="399" t="s">
        <v>1256</v>
      </c>
      <c r="D73" s="399" t="s">
        <v>1271</v>
      </c>
      <c r="E73" s="399">
        <v>0.25419999999999998</v>
      </c>
      <c r="F73" s="399">
        <v>1.0387</v>
      </c>
      <c r="G73" s="400">
        <v>25.996700000000001</v>
      </c>
      <c r="H73" s="400">
        <v>25.719000000000001</v>
      </c>
      <c r="I73" s="400">
        <v>2.1000000000022112E-3</v>
      </c>
      <c r="J73" s="406">
        <f>IF(OR(ISBLANK(Tabla1[[#This Row],[M3 '[g'] PESO CRISOL+MUESTRA (SECA)]]),ISBLANK(Tabla1[[#This Row],[M1 '[g']]]),ISBLANK(Tabla1[[#This Row],[M4 '[g']  PESO CRISOL + CENIZAS]]),ISBLANK(Tabla1[[#This Row],[M5]])),"",Tabla1[[#This Row],[M3 '[g'] PESO CRISOL+MUESTRA (SECA)]]-Tabla1[[#This Row],[M1 '[g']]]-Tabla1[[#This Row],[M4 '[g']  PESO CRISOL + CENIZAS]]-Tabla1[[#This Row],[M5]])</f>
        <v>2.1399999999996311E-2</v>
      </c>
      <c r="K73" s="407">
        <f>IF(OR(ISBLANK(Tabla1[[#This Row],[M3 '[g'] PESO CRISOL+MUESTRA (SECA)]]),ISBLANK(Tabla1[[#This Row],[M1 '[g']]]),ISBLANK(Tabla1[[#This Row],[M4 '[g']  PESO CRISOL + CENIZAS]])),"",Tabla1[[#This Row],[M3 '[g'] PESO CRISOL+MUESTRA (SECA)]]-Tabla1[[#This Row],[M1 '[g']]]-Tabla1[[#This Row],[M4 '[g']  PESO CRISOL + CENIZAS]])</f>
        <v>2.3499999999998522E-2</v>
      </c>
      <c r="L73" s="407">
        <f>IF(ISNUMBER(Tabla1[[#This Row],[%FIBRA TOTAL]]),Tabla1[[#This Row],[%FIBRA TOTAL]]*(100-Tabla1[[#This Row],[%Grasa y/o % humedad En la Muestra g/100g]])/100,"")</f>
        <v>2.6178999999998355E-3</v>
      </c>
      <c r="M73" s="393">
        <v>88.86</v>
      </c>
      <c r="N73" s="399" t="s">
        <v>1231</v>
      </c>
      <c r="O73" s="411" t="s">
        <v>1217</v>
      </c>
      <c r="P73" s="412" t="s">
        <v>1335</v>
      </c>
      <c r="Q73" s="413" t="s">
        <v>1257</v>
      </c>
      <c r="R73" s="414"/>
    </row>
    <row r="74" spans="1:18" ht="15.75" customHeight="1" x14ac:dyDescent="0.3">
      <c r="A74" s="397">
        <v>44306</v>
      </c>
      <c r="B74" s="398" t="s">
        <v>905</v>
      </c>
      <c r="C74" s="399" t="s">
        <v>1256</v>
      </c>
      <c r="D74" s="399" t="s">
        <v>1269</v>
      </c>
      <c r="E74" s="399">
        <v>0.25419999999999998</v>
      </c>
      <c r="F74" s="399">
        <v>1.0209999999999999</v>
      </c>
      <c r="G74" s="400">
        <v>22.751999999999999</v>
      </c>
      <c r="H74" s="400">
        <v>22.472100000000001</v>
      </c>
      <c r="I74" s="400">
        <v>2.1000000000022112E-3</v>
      </c>
      <c r="J74" s="406">
        <f>IF(OR(ISBLANK(Tabla1[[#This Row],[M3 '[g'] PESO CRISOL+MUESTRA (SECA)]]),ISBLANK(Tabla1[[#This Row],[M1 '[g']]]),ISBLANK(Tabla1[[#This Row],[M4 '[g']  PESO CRISOL + CENIZAS]]),ISBLANK(Tabla1[[#This Row],[M5]])),"",Tabla1[[#This Row],[M3 '[g'] PESO CRISOL+MUESTRA (SECA)]]-Tabla1[[#This Row],[M1 '[g']]]-Tabla1[[#This Row],[M4 '[g']  PESO CRISOL + CENIZAS]]-Tabla1[[#This Row],[M5]])</f>
        <v>2.3599999999994736E-2</v>
      </c>
      <c r="K74" s="407">
        <f>IF(OR(ISBLANK(Tabla1[[#This Row],[M3 '[g'] PESO CRISOL+MUESTRA (SECA)]]),ISBLANK(Tabla1[[#This Row],[M1 '[g']]]),ISBLANK(Tabla1[[#This Row],[M4 '[g']  PESO CRISOL + CENIZAS]])),"",Tabla1[[#This Row],[M3 '[g'] PESO CRISOL+MUESTRA (SECA)]]-Tabla1[[#This Row],[M1 '[g']]]-Tabla1[[#This Row],[M4 '[g']  PESO CRISOL + CENIZAS]])</f>
        <v>2.5699999999996948E-2</v>
      </c>
      <c r="L74" s="407">
        <f>IF(ISNUMBER(Tabla1[[#This Row],[%FIBRA TOTAL]]),Tabla1[[#This Row],[%FIBRA TOTAL]]*(100-Tabla1[[#This Row],[%Grasa y/o % humedad En la Muestra g/100g]])/100,"")</f>
        <v>2.8629799999996602E-3</v>
      </c>
      <c r="M74" s="393">
        <v>88.86</v>
      </c>
      <c r="N74" s="399" t="s">
        <v>1231</v>
      </c>
      <c r="O74" s="411" t="s">
        <v>1217</v>
      </c>
      <c r="P74" s="412" t="s">
        <v>1335</v>
      </c>
      <c r="Q74" s="413" t="s">
        <v>1257</v>
      </c>
      <c r="R74" s="414"/>
    </row>
    <row r="75" spans="1:18" ht="15.75" customHeight="1" x14ac:dyDescent="0.3">
      <c r="A75" s="397">
        <v>44315</v>
      </c>
      <c r="B75" s="398" t="s">
        <v>905</v>
      </c>
      <c r="C75" s="399" t="s">
        <v>1258</v>
      </c>
      <c r="D75" s="399" t="s">
        <v>1271</v>
      </c>
      <c r="E75" s="399">
        <v>0.25640000000000002</v>
      </c>
      <c r="F75" s="399">
        <v>1</v>
      </c>
      <c r="G75" s="400">
        <v>25.735199999999999</v>
      </c>
      <c r="H75" s="400">
        <v>25.467199999999998</v>
      </c>
      <c r="I75" s="400">
        <v>2.1000000000022112E-3</v>
      </c>
      <c r="J75" s="406">
        <f>IF(OR(ISBLANK(Tabla1[[#This Row],[M3 '[g'] PESO CRISOL+MUESTRA (SECA)]]),ISBLANK(Tabla1[[#This Row],[M1 '[g']]]),ISBLANK(Tabla1[[#This Row],[M4 '[g']  PESO CRISOL + CENIZAS]]),ISBLANK(Tabla1[[#This Row],[M5]])),"",Tabla1[[#This Row],[M3 '[g'] PESO CRISOL+MUESTRA (SECA)]]-Tabla1[[#This Row],[M1 '[g']]]-Tabla1[[#This Row],[M4 '[g']  PESO CRISOL + CENIZAS]]-Tabla1[[#This Row],[M5]])</f>
        <v>9.4999999999991758E-3</v>
      </c>
      <c r="K75" s="407">
        <f>IF(OR(ISBLANK(Tabla1[[#This Row],[M3 '[g'] PESO CRISOL+MUESTRA (SECA)]]),ISBLANK(Tabla1[[#This Row],[M1 '[g']]]),ISBLANK(Tabla1[[#This Row],[M4 '[g']  PESO CRISOL + CENIZAS]])),"",Tabla1[[#This Row],[M3 '[g'] PESO CRISOL+MUESTRA (SECA)]]-Tabla1[[#This Row],[M1 '[g']]]-Tabla1[[#This Row],[M4 '[g']  PESO CRISOL + CENIZAS]])</f>
        <v>1.1600000000001387E-2</v>
      </c>
      <c r="L75" s="407">
        <f>IF(ISNUMBER(Tabla1[[#This Row],[%FIBRA TOTAL]]),Tabla1[[#This Row],[%FIBRA TOTAL]]*(100-Tabla1[[#This Row],[%Grasa y/o % humedad En la Muestra g/100g]])/100,"")</f>
        <v>1.2644000000001517E-3</v>
      </c>
      <c r="M75" s="393">
        <v>89.1</v>
      </c>
      <c r="N75" s="399" t="s">
        <v>1231</v>
      </c>
      <c r="O75" s="411" t="s">
        <v>1217</v>
      </c>
      <c r="P75" s="412" t="s">
        <v>1335</v>
      </c>
      <c r="Q75" s="413" t="s">
        <v>1259</v>
      </c>
      <c r="R75" s="414"/>
    </row>
    <row r="76" spans="1:18" ht="15.75" customHeight="1" x14ac:dyDescent="0.3">
      <c r="A76" s="397">
        <v>44315</v>
      </c>
      <c r="B76" s="398" t="s">
        <v>905</v>
      </c>
      <c r="C76" s="399" t="s">
        <v>1258</v>
      </c>
      <c r="D76" s="399" t="s">
        <v>1269</v>
      </c>
      <c r="E76" s="399">
        <v>0.25669999999999998</v>
      </c>
      <c r="F76" s="399">
        <v>1.0001</v>
      </c>
      <c r="G76" s="400">
        <v>23.915600000000001</v>
      </c>
      <c r="H76" s="400">
        <v>23.6479</v>
      </c>
      <c r="I76" s="400">
        <v>2.1000000000022112E-3</v>
      </c>
      <c r="J76" s="406">
        <f>IF(OR(ISBLANK(Tabla1[[#This Row],[M3 '[g'] PESO CRISOL+MUESTRA (SECA)]]),ISBLANK(Tabla1[[#This Row],[M1 '[g']]]),ISBLANK(Tabla1[[#This Row],[M4 '[g']  PESO CRISOL + CENIZAS]]),ISBLANK(Tabla1[[#This Row],[M5]])),"",Tabla1[[#This Row],[M3 '[g'] PESO CRISOL+MUESTRA (SECA)]]-Tabla1[[#This Row],[M1 '[g']]]-Tabla1[[#This Row],[M4 '[g']  PESO CRISOL + CENIZAS]]-Tabla1[[#This Row],[M5]])</f>
        <v>8.9000000000005741E-3</v>
      </c>
      <c r="K76" s="407">
        <f>IF(OR(ISBLANK(Tabla1[[#This Row],[M3 '[g'] PESO CRISOL+MUESTRA (SECA)]]),ISBLANK(Tabla1[[#This Row],[M1 '[g']]]),ISBLANK(Tabla1[[#This Row],[M4 '[g']  PESO CRISOL + CENIZAS]])),"",Tabla1[[#This Row],[M3 '[g'] PESO CRISOL+MUESTRA (SECA)]]-Tabla1[[#This Row],[M1 '[g']]]-Tabla1[[#This Row],[M4 '[g']  PESO CRISOL + CENIZAS]])</f>
        <v>1.1000000000002785E-2</v>
      </c>
      <c r="L76" s="407">
        <f>IF(ISNUMBER(Tabla1[[#This Row],[%FIBRA TOTAL]]),Tabla1[[#This Row],[%FIBRA TOTAL]]*(100-Tabla1[[#This Row],[%Grasa y/o % humedad En la Muestra g/100g]])/100,"")</f>
        <v>1.1990000000003042E-3</v>
      </c>
      <c r="M76" s="393">
        <v>89.1</v>
      </c>
      <c r="N76" s="399" t="s">
        <v>1231</v>
      </c>
      <c r="O76" s="411" t="s">
        <v>1217</v>
      </c>
      <c r="P76" s="412" t="s">
        <v>1335</v>
      </c>
      <c r="Q76" s="413" t="s">
        <v>1259</v>
      </c>
      <c r="R76" s="414"/>
    </row>
    <row r="77" spans="1:18" ht="15.75" customHeight="1" x14ac:dyDescent="0.3">
      <c r="A77" s="397">
        <v>44319</v>
      </c>
      <c r="B77" s="398" t="s">
        <v>1307</v>
      </c>
      <c r="C77" s="399" t="s">
        <v>1260</v>
      </c>
      <c r="D77" s="399" t="s">
        <v>1271</v>
      </c>
      <c r="E77" s="399">
        <v>0.25800000000000001</v>
      </c>
      <c r="F77" s="399">
        <v>1.0073000000000001</v>
      </c>
      <c r="G77" s="400">
        <v>27.962499999999999</v>
      </c>
      <c r="H77" s="400">
        <v>27.575399999999998</v>
      </c>
      <c r="I77" s="400">
        <v>2.1000000000022112E-3</v>
      </c>
      <c r="J77" s="406">
        <f>IF(OR(ISBLANK(Tabla1[[#This Row],[M3 '[g'] PESO CRISOL+MUESTRA (SECA)]]),ISBLANK(Tabla1[[#This Row],[M1 '[g']]]),ISBLANK(Tabla1[[#This Row],[M4 '[g']  PESO CRISOL + CENIZAS]]),ISBLANK(Tabla1[[#This Row],[M5]])),"",Tabla1[[#This Row],[M3 '[g'] PESO CRISOL+MUESTRA (SECA)]]-Tabla1[[#This Row],[M1 '[g']]]-Tabla1[[#This Row],[M4 '[g']  PESO CRISOL + CENIZAS]]-Tabla1[[#This Row],[M5]])</f>
        <v>0.12699999999999889</v>
      </c>
      <c r="K77" s="407">
        <f>IF(OR(ISBLANK(Tabla1[[#This Row],[M3 '[g'] PESO CRISOL+MUESTRA (SECA)]]),ISBLANK(Tabla1[[#This Row],[M1 '[g']]]),ISBLANK(Tabla1[[#This Row],[M4 '[g']  PESO CRISOL + CENIZAS]])),"",Tabla1[[#This Row],[M3 '[g'] PESO CRISOL+MUESTRA (SECA)]]-Tabla1[[#This Row],[M1 '[g']]]-Tabla1[[#This Row],[M4 '[g']  PESO CRISOL + CENIZAS]])</f>
        <v>0.1291000000000011</v>
      </c>
      <c r="L77" s="407">
        <f>IF(ISNUMBER(Tabla1[[#This Row],[%FIBRA TOTAL]]),Tabla1[[#This Row],[%FIBRA TOTAL]]*(100-Tabla1[[#This Row],[%Grasa y/o % humedad En la Muestra g/100g]])/100,"")</f>
        <v>7.4103400000000624E-2</v>
      </c>
      <c r="M77" s="393">
        <v>42.6</v>
      </c>
      <c r="N77" s="399" t="s">
        <v>1231</v>
      </c>
      <c r="O77" s="411" t="s">
        <v>1217</v>
      </c>
      <c r="P77" s="412" t="s">
        <v>1335</v>
      </c>
      <c r="Q77" s="413" t="s">
        <v>1263</v>
      </c>
      <c r="R77" s="414"/>
    </row>
    <row r="78" spans="1:18" ht="15.75" customHeight="1" x14ac:dyDescent="0.3">
      <c r="A78" s="397">
        <v>44319</v>
      </c>
      <c r="B78" s="398" t="s">
        <v>1307</v>
      </c>
      <c r="C78" s="399" t="s">
        <v>1260</v>
      </c>
      <c r="D78" s="399" t="s">
        <v>1269</v>
      </c>
      <c r="E78" s="399">
        <v>0.2576</v>
      </c>
      <c r="F78" s="399">
        <v>1.0069999999999999</v>
      </c>
      <c r="G78" s="400">
        <v>22.894500000000001</v>
      </c>
      <c r="H78" s="400">
        <v>22.514399999999998</v>
      </c>
      <c r="I78" s="400">
        <v>2.1000000000022112E-3</v>
      </c>
      <c r="J78" s="406">
        <f>IF(OR(ISBLANK(Tabla1[[#This Row],[M3 '[g'] PESO CRISOL+MUESTRA (SECA)]]),ISBLANK(Tabla1[[#This Row],[M1 '[g']]]),ISBLANK(Tabla1[[#This Row],[M4 '[g']  PESO CRISOL + CENIZAS]]),ISBLANK(Tabla1[[#This Row],[M5]])),"",Tabla1[[#This Row],[M3 '[g'] PESO CRISOL+MUESTRA (SECA)]]-Tabla1[[#This Row],[M1 '[g']]]-Tabla1[[#This Row],[M4 '[g']  PESO CRISOL + CENIZAS]]-Tabla1[[#This Row],[M5]])</f>
        <v>0.12040000000000006</v>
      </c>
      <c r="K78" s="407">
        <f>IF(OR(ISBLANK(Tabla1[[#This Row],[M3 '[g'] PESO CRISOL+MUESTRA (SECA)]]),ISBLANK(Tabla1[[#This Row],[M1 '[g']]]),ISBLANK(Tabla1[[#This Row],[M4 '[g']  PESO CRISOL + CENIZAS]])),"",Tabla1[[#This Row],[M3 '[g'] PESO CRISOL+MUESTRA (SECA)]]-Tabla1[[#This Row],[M1 '[g']]]-Tabla1[[#This Row],[M4 '[g']  PESO CRISOL + CENIZAS]])</f>
        <v>0.12250000000000227</v>
      </c>
      <c r="L78" s="407">
        <f>IF(ISNUMBER(Tabla1[[#This Row],[%FIBRA TOTAL]]),Tabla1[[#This Row],[%FIBRA TOTAL]]*(100-Tabla1[[#This Row],[%Grasa y/o % humedad En la Muestra g/100g]])/100,"")</f>
        <v>7.0315000000001293E-2</v>
      </c>
      <c r="M78" s="393">
        <v>42.6</v>
      </c>
      <c r="N78" s="399" t="s">
        <v>1231</v>
      </c>
      <c r="O78" s="411" t="s">
        <v>1217</v>
      </c>
      <c r="P78" s="412" t="s">
        <v>1335</v>
      </c>
      <c r="Q78" s="413" t="s">
        <v>1263</v>
      </c>
      <c r="R78" s="414"/>
    </row>
    <row r="79" spans="1:18" ht="15.75" customHeight="1" x14ac:dyDescent="0.3">
      <c r="A79" s="397">
        <v>44319</v>
      </c>
      <c r="B79" s="398" t="s">
        <v>914</v>
      </c>
      <c r="C79" s="399" t="s">
        <v>1261</v>
      </c>
      <c r="D79" s="399" t="s">
        <v>1271</v>
      </c>
      <c r="E79" s="399">
        <v>0.25679999999999997</v>
      </c>
      <c r="F79" s="399">
        <v>1.0004</v>
      </c>
      <c r="G79" s="400">
        <v>21.407800000000002</v>
      </c>
      <c r="H79" s="400">
        <v>21.094999999999999</v>
      </c>
      <c r="I79" s="400">
        <v>2.1000000000022112E-3</v>
      </c>
      <c r="J79" s="406">
        <f>IF(OR(ISBLANK(Tabla1[[#This Row],[M3 '[g'] PESO CRISOL+MUESTRA (SECA)]]),ISBLANK(Tabla1[[#This Row],[M1 '[g']]]),ISBLANK(Tabla1[[#This Row],[M4 '[g']  PESO CRISOL + CENIZAS]]),ISBLANK(Tabla1[[#This Row],[M5]])),"",Tabla1[[#This Row],[M3 '[g'] PESO CRISOL+MUESTRA (SECA)]]-Tabla1[[#This Row],[M1 '[g']]]-Tabla1[[#This Row],[M4 '[g']  PESO CRISOL + CENIZAS]]-Tabla1[[#This Row],[M5]])</f>
        <v>5.3900000000002279E-2</v>
      </c>
      <c r="K79" s="407">
        <f>IF(OR(ISBLANK(Tabla1[[#This Row],[M3 '[g'] PESO CRISOL+MUESTRA (SECA)]]),ISBLANK(Tabla1[[#This Row],[M1 '[g']]]),ISBLANK(Tabla1[[#This Row],[M4 '[g']  PESO CRISOL + CENIZAS]])),"",Tabla1[[#This Row],[M3 '[g'] PESO CRISOL+MUESTRA (SECA)]]-Tabla1[[#This Row],[M1 '[g']]]-Tabla1[[#This Row],[M4 '[g']  PESO CRISOL + CENIZAS]])</f>
        <v>5.6000000000004491E-2</v>
      </c>
      <c r="L79" s="407">
        <f>IF(ISNUMBER(Tabla1[[#This Row],[%FIBRA TOTAL]]),Tabla1[[#This Row],[%FIBRA TOTAL]]*(100-Tabla1[[#This Row],[%Grasa y/o % humedad En la Muestra g/100g]])/100,"")</f>
        <v>5.0400000000004039E-2</v>
      </c>
      <c r="M79" s="393">
        <v>10</v>
      </c>
      <c r="N79" s="399" t="s">
        <v>1231</v>
      </c>
      <c r="O79" s="411" t="s">
        <v>1217</v>
      </c>
      <c r="P79" s="412" t="s">
        <v>1335</v>
      </c>
      <c r="Q79" s="413" t="s">
        <v>1263</v>
      </c>
      <c r="R79" s="414"/>
    </row>
    <row r="80" spans="1:18" ht="15.75" customHeight="1" x14ac:dyDescent="0.3">
      <c r="A80" s="397">
        <v>44319</v>
      </c>
      <c r="B80" s="398" t="s">
        <v>914</v>
      </c>
      <c r="C80" s="399" t="s">
        <v>1261</v>
      </c>
      <c r="D80" s="399" t="s">
        <v>1269</v>
      </c>
      <c r="E80" s="399">
        <v>0.2581</v>
      </c>
      <c r="F80" s="399">
        <v>1.0004</v>
      </c>
      <c r="G80" s="400">
        <v>23.7193</v>
      </c>
      <c r="H80" s="400">
        <v>23.412199999999999</v>
      </c>
      <c r="I80" s="400">
        <v>2.1000000000022112E-3</v>
      </c>
      <c r="J80" s="406">
        <f>IF(OR(ISBLANK(Tabla1[[#This Row],[M3 '[g'] PESO CRISOL+MUESTRA (SECA)]]),ISBLANK(Tabla1[[#This Row],[M1 '[g']]]),ISBLANK(Tabla1[[#This Row],[M4 '[g']  PESO CRISOL + CENIZAS]]),ISBLANK(Tabla1[[#This Row],[M5]])),"",Tabla1[[#This Row],[M3 '[g'] PESO CRISOL+MUESTRA (SECA)]]-Tabla1[[#This Row],[M1 '[g']]]-Tabla1[[#This Row],[M4 '[g']  PESO CRISOL + CENIZAS]]-Tabla1[[#This Row],[M5]])</f>
        <v>4.690000000000083E-2</v>
      </c>
      <c r="K80" s="407">
        <f>IF(OR(ISBLANK(Tabla1[[#This Row],[M3 '[g'] PESO CRISOL+MUESTRA (SECA)]]),ISBLANK(Tabla1[[#This Row],[M1 '[g']]]),ISBLANK(Tabla1[[#This Row],[M4 '[g']  PESO CRISOL + CENIZAS]])),"",Tabla1[[#This Row],[M3 '[g'] PESO CRISOL+MUESTRA (SECA)]]-Tabla1[[#This Row],[M1 '[g']]]-Tabla1[[#This Row],[M4 '[g']  PESO CRISOL + CENIZAS]])</f>
        <v>4.9000000000003041E-2</v>
      </c>
      <c r="L80" s="407">
        <f>IF(ISNUMBER(Tabla1[[#This Row],[%FIBRA TOTAL]]),Tabla1[[#This Row],[%FIBRA TOTAL]]*(100-Tabla1[[#This Row],[%Grasa y/o % humedad En la Muestra g/100g]])/100,"")</f>
        <v>4.4100000000002734E-2</v>
      </c>
      <c r="M80" s="393">
        <v>10</v>
      </c>
      <c r="N80" s="399" t="s">
        <v>1231</v>
      </c>
      <c r="O80" s="411" t="s">
        <v>1217</v>
      </c>
      <c r="P80" s="412" t="s">
        <v>1335</v>
      </c>
      <c r="Q80" s="413" t="s">
        <v>1263</v>
      </c>
      <c r="R80" s="414"/>
    </row>
    <row r="81" spans="1:18" ht="15.75" customHeight="1" x14ac:dyDescent="0.3">
      <c r="A81" s="397">
        <v>44319</v>
      </c>
      <c r="B81" s="398" t="s">
        <v>905</v>
      </c>
      <c r="C81" s="399" t="s">
        <v>1262</v>
      </c>
      <c r="D81" s="399" t="s">
        <v>1271</v>
      </c>
      <c r="E81" s="399">
        <v>0.25600000000000001</v>
      </c>
      <c r="F81" s="399">
        <v>1.0032000000000001</v>
      </c>
      <c r="G81" s="400">
        <v>25.863199999999999</v>
      </c>
      <c r="H81" s="400">
        <v>25.5625</v>
      </c>
      <c r="I81" s="400">
        <v>2.1000000000022112E-3</v>
      </c>
      <c r="J81" s="406">
        <f>IF(OR(ISBLANK(Tabla1[[#This Row],[M3 '[g'] PESO CRISOL+MUESTRA (SECA)]]),ISBLANK(Tabla1[[#This Row],[M1 '[g']]]),ISBLANK(Tabla1[[#This Row],[M4 '[g']  PESO CRISOL + CENIZAS]]),ISBLANK(Tabla1[[#This Row],[M5]])),"",Tabla1[[#This Row],[M3 '[g'] PESO CRISOL+MUESTRA (SECA)]]-Tabla1[[#This Row],[M1 '[g']]]-Tabla1[[#This Row],[M4 '[g']  PESO CRISOL + CENIZAS]]-Tabla1[[#This Row],[M5]])</f>
        <v>4.2599999999996641E-2</v>
      </c>
      <c r="K81" s="407">
        <f>IF(OR(ISBLANK(Tabla1[[#This Row],[M3 '[g'] PESO CRISOL+MUESTRA (SECA)]]),ISBLANK(Tabla1[[#This Row],[M1 '[g']]]),ISBLANK(Tabla1[[#This Row],[M4 '[g']  PESO CRISOL + CENIZAS]])),"",Tabla1[[#This Row],[M3 '[g'] PESO CRISOL+MUESTRA (SECA)]]-Tabla1[[#This Row],[M1 '[g']]]-Tabla1[[#This Row],[M4 '[g']  PESO CRISOL + CENIZAS]])</f>
        <v>4.4699999999998852E-2</v>
      </c>
      <c r="L81" s="407">
        <f>IF(ISNUMBER(Tabla1[[#This Row],[%FIBRA TOTAL]]),Tabla1[[#This Row],[%FIBRA TOTAL]]*(100-Tabla1[[#This Row],[%Grasa y/o % humedad En la Muestra g/100g]])/100,"")</f>
        <v>4.9304099999998739E-3</v>
      </c>
      <c r="M81" s="393">
        <v>88.97</v>
      </c>
      <c r="N81" s="399" t="s">
        <v>1231</v>
      </c>
      <c r="O81" s="411" t="s">
        <v>1217</v>
      </c>
      <c r="P81" s="412" t="s">
        <v>1335</v>
      </c>
      <c r="Q81" s="413" t="s">
        <v>1263</v>
      </c>
      <c r="R81" s="414"/>
    </row>
    <row r="82" spans="1:18" ht="15.75" customHeight="1" x14ac:dyDescent="0.3">
      <c r="A82" s="397">
        <v>44319</v>
      </c>
      <c r="B82" s="398" t="s">
        <v>905</v>
      </c>
      <c r="C82" s="399" t="s">
        <v>1262</v>
      </c>
      <c r="D82" s="399" t="s">
        <v>1269</v>
      </c>
      <c r="E82" s="399">
        <v>0.25750000000000001</v>
      </c>
      <c r="F82" s="399">
        <v>1.0086999999999999</v>
      </c>
      <c r="G82" s="400">
        <v>25.948499999999999</v>
      </c>
      <c r="H82" s="400">
        <v>25.645299999999999</v>
      </c>
      <c r="I82" s="400">
        <v>2.1000000000022112E-3</v>
      </c>
      <c r="J82" s="406">
        <f>IF(OR(ISBLANK(Tabla1[[#This Row],[M3 '[g'] PESO CRISOL+MUESTRA (SECA)]]),ISBLANK(Tabla1[[#This Row],[M1 '[g']]]),ISBLANK(Tabla1[[#This Row],[M4 '[g']  PESO CRISOL + CENIZAS]]),ISBLANK(Tabla1[[#This Row],[M5]])),"",Tabla1[[#This Row],[M3 '[g'] PESO CRISOL+MUESTRA (SECA)]]-Tabla1[[#This Row],[M1 '[g']]]-Tabla1[[#This Row],[M4 '[g']  PESO CRISOL + CENIZAS]]-Tabla1[[#This Row],[M5]])</f>
        <v>4.3599999999997863E-2</v>
      </c>
      <c r="K82" s="407">
        <f>IF(OR(ISBLANK(Tabla1[[#This Row],[M3 '[g'] PESO CRISOL+MUESTRA (SECA)]]),ISBLANK(Tabla1[[#This Row],[M1 '[g']]]),ISBLANK(Tabla1[[#This Row],[M4 '[g']  PESO CRISOL + CENIZAS]])),"",Tabla1[[#This Row],[M3 '[g'] PESO CRISOL+MUESTRA (SECA)]]-Tabla1[[#This Row],[M1 '[g']]]-Tabla1[[#This Row],[M4 '[g']  PESO CRISOL + CENIZAS]])</f>
        <v>4.5700000000000074E-2</v>
      </c>
      <c r="L82" s="407">
        <f>IF(ISNUMBER(Tabla1[[#This Row],[%FIBRA TOTAL]]),Tabla1[[#This Row],[%FIBRA TOTAL]]*(100-Tabla1[[#This Row],[%Grasa y/o % humedad En la Muestra g/100g]])/100,"")</f>
        <v>5.0407100000000081E-3</v>
      </c>
      <c r="M82" s="393">
        <v>88.97</v>
      </c>
      <c r="N82" s="399" t="s">
        <v>1231</v>
      </c>
      <c r="O82" s="411" t="s">
        <v>1217</v>
      </c>
      <c r="P82" s="412" t="s">
        <v>1335</v>
      </c>
      <c r="Q82" s="413" t="s">
        <v>1263</v>
      </c>
      <c r="R82" s="414"/>
    </row>
    <row r="83" spans="1:18" ht="15.75" customHeight="1" x14ac:dyDescent="0.3">
      <c r="A83" s="397">
        <v>44327</v>
      </c>
      <c r="B83" s="398" t="s">
        <v>914</v>
      </c>
      <c r="C83" s="399" t="s">
        <v>1264</v>
      </c>
      <c r="D83" s="399" t="s">
        <v>1271</v>
      </c>
      <c r="E83" s="399">
        <v>0.2571</v>
      </c>
      <c r="F83" s="399">
        <v>1.0031000000000001</v>
      </c>
      <c r="G83" s="400">
        <v>21.373999999999999</v>
      </c>
      <c r="H83" s="400">
        <v>21.094100000000001</v>
      </c>
      <c r="I83" s="400">
        <v>2.1000000000022112E-3</v>
      </c>
      <c r="J83" s="406">
        <f>IF(OR(ISBLANK(Tabla1[[#This Row],[M3 '[g'] PESO CRISOL+MUESTRA (SECA)]]),ISBLANK(Tabla1[[#This Row],[M1 '[g']]]),ISBLANK(Tabla1[[#This Row],[M4 '[g']  PESO CRISOL + CENIZAS]]),ISBLANK(Tabla1[[#This Row],[M5]])),"",Tabla1[[#This Row],[M3 '[g'] PESO CRISOL+MUESTRA (SECA)]]-Tabla1[[#This Row],[M1 '[g']]]-Tabla1[[#This Row],[M4 '[g']  PESO CRISOL + CENIZAS]]-Tabla1[[#This Row],[M5]])</f>
        <v>2.069999999999439E-2</v>
      </c>
      <c r="K83" s="407">
        <f>IF(OR(ISBLANK(Tabla1[[#This Row],[M3 '[g'] PESO CRISOL+MUESTRA (SECA)]]),ISBLANK(Tabla1[[#This Row],[M1 '[g']]]),ISBLANK(Tabla1[[#This Row],[M4 '[g']  PESO CRISOL + CENIZAS]])),"",Tabla1[[#This Row],[M3 '[g'] PESO CRISOL+MUESTRA (SECA)]]-Tabla1[[#This Row],[M1 '[g']]]-Tabla1[[#This Row],[M4 '[g']  PESO CRISOL + CENIZAS]])</f>
        <v>2.2799999999996601E-2</v>
      </c>
      <c r="L83" s="407">
        <f>IF(ISNUMBER(Tabla1[[#This Row],[%FIBRA TOTAL]]),Tabla1[[#This Row],[%FIBRA TOTAL]]*(100-Tabla1[[#This Row],[%Grasa y/o % humedad En la Muestra g/100g]])/100,"")</f>
        <v>2.2047599999996711E-2</v>
      </c>
      <c r="M83" s="393">
        <v>3.3</v>
      </c>
      <c r="N83" s="399" t="s">
        <v>1231</v>
      </c>
      <c r="O83" s="411" t="s">
        <v>1217</v>
      </c>
      <c r="P83" s="412" t="s">
        <v>1335</v>
      </c>
      <c r="Q83" s="413" t="s">
        <v>1266</v>
      </c>
      <c r="R83" s="414"/>
    </row>
    <row r="84" spans="1:18" ht="15.75" customHeight="1" x14ac:dyDescent="0.3">
      <c r="A84" s="397">
        <v>44327</v>
      </c>
      <c r="B84" s="398" t="s">
        <v>914</v>
      </c>
      <c r="C84" s="399" t="s">
        <v>1264</v>
      </c>
      <c r="D84" s="399" t="s">
        <v>1269</v>
      </c>
      <c r="E84" s="400">
        <v>0.2571</v>
      </c>
      <c r="F84" s="399">
        <v>1.0028999999999999</v>
      </c>
      <c r="G84" s="400">
        <v>25.922499999999999</v>
      </c>
      <c r="H84" s="400">
        <v>25.643000000000001</v>
      </c>
      <c r="I84" s="400">
        <v>2.1000000000022112E-3</v>
      </c>
      <c r="J84" s="406">
        <f>IF(OR(ISBLANK(Tabla1[[#This Row],[M3 '[g'] PESO CRISOL+MUESTRA (SECA)]]),ISBLANK(Tabla1[[#This Row],[M1 '[g']]]),ISBLANK(Tabla1[[#This Row],[M4 '[g']  PESO CRISOL + CENIZAS]]),ISBLANK(Tabla1[[#This Row],[M5]])),"",Tabla1[[#This Row],[M3 '[g'] PESO CRISOL+MUESTRA (SECA)]]-Tabla1[[#This Row],[M1 '[g']]]-Tabla1[[#This Row],[M4 '[g']  PESO CRISOL + CENIZAS]]-Tabla1[[#This Row],[M5]])</f>
        <v>2.0299999999995322E-2</v>
      </c>
      <c r="K84" s="407">
        <f>IF(OR(ISBLANK(Tabla1[[#This Row],[M3 '[g'] PESO CRISOL+MUESTRA (SECA)]]),ISBLANK(Tabla1[[#This Row],[M1 '[g']]]),ISBLANK(Tabla1[[#This Row],[M4 '[g']  PESO CRISOL + CENIZAS]])),"",Tabla1[[#This Row],[M3 '[g'] PESO CRISOL+MUESTRA (SECA)]]-Tabla1[[#This Row],[M1 '[g']]]-Tabla1[[#This Row],[M4 '[g']  PESO CRISOL + CENIZAS]])</f>
        <v>2.2399999999997533E-2</v>
      </c>
      <c r="L84" s="407">
        <f>IF(ISNUMBER(Tabla1[[#This Row],[%FIBRA TOTAL]]),Tabla1[[#This Row],[%FIBRA TOTAL]]*(100-Tabla1[[#This Row],[%Grasa y/o % humedad En la Muestra g/100g]])/100,"")</f>
        <v>2.1660799999997614E-2</v>
      </c>
      <c r="M84" s="393">
        <v>3.3</v>
      </c>
      <c r="N84" s="399" t="s">
        <v>1231</v>
      </c>
      <c r="O84" s="411" t="s">
        <v>1217</v>
      </c>
      <c r="P84" s="412" t="s">
        <v>1335</v>
      </c>
      <c r="Q84" s="413" t="s">
        <v>1266</v>
      </c>
      <c r="R84" s="414"/>
    </row>
    <row r="85" spans="1:18" ht="15.75" customHeight="1" x14ac:dyDescent="0.3">
      <c r="A85" s="397">
        <v>44327</v>
      </c>
      <c r="B85" s="398" t="s">
        <v>897</v>
      </c>
      <c r="C85" s="399" t="s">
        <v>1265</v>
      </c>
      <c r="D85" s="399" t="s">
        <v>1271</v>
      </c>
      <c r="E85" s="399">
        <v>0.2581</v>
      </c>
      <c r="F85" s="399">
        <v>1.0898000000000001</v>
      </c>
      <c r="G85" s="400">
        <v>23.709099999999999</v>
      </c>
      <c r="H85" s="400">
        <v>23.400300000000001</v>
      </c>
      <c r="I85" s="400">
        <v>2.1000000000022112E-3</v>
      </c>
      <c r="J85" s="406">
        <f>IF(OR(ISBLANK(Tabla1[[#This Row],[M3 '[g'] PESO CRISOL+MUESTRA (SECA)]]),ISBLANK(Tabla1[[#This Row],[M1 '[g']]]),ISBLANK(Tabla1[[#This Row],[M4 '[g']  PESO CRISOL + CENIZAS]]),ISBLANK(Tabla1[[#This Row],[M5]])),"",Tabla1[[#This Row],[M3 '[g'] PESO CRISOL+MUESTRA (SECA)]]-Tabla1[[#This Row],[M1 '[g']]]-Tabla1[[#This Row],[M4 '[g']  PESO CRISOL + CENIZAS]]-Tabla1[[#This Row],[M5]])</f>
        <v>4.8599999999996868E-2</v>
      </c>
      <c r="K85" s="407">
        <f>IF(OR(ISBLANK(Tabla1[[#This Row],[M3 '[g'] PESO CRISOL+MUESTRA (SECA)]]),ISBLANK(Tabla1[[#This Row],[M1 '[g']]]),ISBLANK(Tabla1[[#This Row],[M4 '[g']  PESO CRISOL + CENIZAS]])),"",Tabla1[[#This Row],[M3 '[g'] PESO CRISOL+MUESTRA (SECA)]]-Tabla1[[#This Row],[M1 '[g']]]-Tabla1[[#This Row],[M4 '[g']  PESO CRISOL + CENIZAS]])</f>
        <v>5.0699999999999079E-2</v>
      </c>
      <c r="L85" s="407">
        <f>IF(ISNUMBER(Tabla1[[#This Row],[%FIBRA TOTAL]]),Tabla1[[#This Row],[%FIBRA TOTAL]]*(100-Tabla1[[#This Row],[%Grasa y/o % humedad En la Muestra g/100g]])/100,"")</f>
        <v>1.826213999999967E-2</v>
      </c>
      <c r="M85" s="393">
        <v>63.98</v>
      </c>
      <c r="N85" s="399" t="s">
        <v>1231</v>
      </c>
      <c r="O85" s="411" t="s">
        <v>1217</v>
      </c>
      <c r="P85" s="412" t="s">
        <v>1335</v>
      </c>
      <c r="Q85" s="413" t="s">
        <v>1266</v>
      </c>
      <c r="R85" s="414"/>
    </row>
    <row r="86" spans="1:18" ht="15.75" customHeight="1" x14ac:dyDescent="0.3">
      <c r="A86" s="397">
        <v>44327</v>
      </c>
      <c r="B86" s="398" t="s">
        <v>897</v>
      </c>
      <c r="C86" s="399" t="s">
        <v>1265</v>
      </c>
      <c r="D86" s="399" t="s">
        <v>1269</v>
      </c>
      <c r="E86" s="399">
        <v>0.25719999999999998</v>
      </c>
      <c r="F86" s="399">
        <v>1.0616000000000001</v>
      </c>
      <c r="G86" s="400">
        <v>26.0242</v>
      </c>
      <c r="H86" s="400">
        <v>25.7178</v>
      </c>
      <c r="I86" s="400">
        <v>2.1000000000022112E-3</v>
      </c>
      <c r="J86" s="406">
        <f>IF(OR(ISBLANK(Tabla1[[#This Row],[M3 '[g'] PESO CRISOL+MUESTRA (SECA)]]),ISBLANK(Tabla1[[#This Row],[M1 '[g']]]),ISBLANK(Tabla1[[#This Row],[M4 '[g']  PESO CRISOL + CENIZAS]]),ISBLANK(Tabla1[[#This Row],[M5]])),"",Tabla1[[#This Row],[M3 '[g'] PESO CRISOL+MUESTRA (SECA)]]-Tabla1[[#This Row],[M1 '[g']]]-Tabla1[[#This Row],[M4 '[g']  PESO CRISOL + CENIZAS]]-Tabla1[[#This Row],[M5]])</f>
        <v>4.7099999999996811E-2</v>
      </c>
      <c r="K86" s="407">
        <f>IF(OR(ISBLANK(Tabla1[[#This Row],[M3 '[g'] PESO CRISOL+MUESTRA (SECA)]]),ISBLANK(Tabla1[[#This Row],[M1 '[g']]]),ISBLANK(Tabla1[[#This Row],[M4 '[g']  PESO CRISOL + CENIZAS]])),"",Tabla1[[#This Row],[M3 '[g'] PESO CRISOL+MUESTRA (SECA)]]-Tabla1[[#This Row],[M1 '[g']]]-Tabla1[[#This Row],[M4 '[g']  PESO CRISOL + CENIZAS]])</f>
        <v>4.9199999999999022E-2</v>
      </c>
      <c r="L86" s="407">
        <f>IF(ISNUMBER(Tabla1[[#This Row],[%FIBRA TOTAL]]),Tabla1[[#This Row],[%FIBRA TOTAL]]*(100-Tabla1[[#This Row],[%Grasa y/o % humedad En la Muestra g/100g]])/100,"")</f>
        <v>1.7721839999999649E-2</v>
      </c>
      <c r="M86" s="393">
        <v>63.98</v>
      </c>
      <c r="N86" s="399" t="s">
        <v>1231</v>
      </c>
      <c r="O86" s="411" t="s">
        <v>1217</v>
      </c>
      <c r="P86" s="412" t="s">
        <v>1335</v>
      </c>
      <c r="Q86" s="413" t="s">
        <v>1266</v>
      </c>
      <c r="R86" s="414"/>
    </row>
    <row r="87" spans="1:18" ht="15.75" customHeight="1" x14ac:dyDescent="0.3">
      <c r="A87" s="397">
        <v>44328</v>
      </c>
      <c r="B87" s="398" t="s">
        <v>900</v>
      </c>
      <c r="C87" s="399" t="s">
        <v>1267</v>
      </c>
      <c r="D87" s="399" t="s">
        <v>1271</v>
      </c>
      <c r="E87" s="399">
        <v>0.25729999999999997</v>
      </c>
      <c r="F87" s="399">
        <v>1.0032000000000001</v>
      </c>
      <c r="G87" s="400">
        <v>25.876999999999999</v>
      </c>
      <c r="H87" s="400">
        <v>25.5656</v>
      </c>
      <c r="I87" s="400">
        <v>2.1000000000022112E-3</v>
      </c>
      <c r="J87" s="406">
        <f>IF(OR(ISBLANK(Tabla1[[#This Row],[M3 '[g'] PESO CRISOL+MUESTRA (SECA)]]),ISBLANK(Tabla1[[#This Row],[M1 '[g']]]),ISBLANK(Tabla1[[#This Row],[M4 '[g']  PESO CRISOL + CENIZAS]]),ISBLANK(Tabla1[[#This Row],[M5]])),"",Tabla1[[#This Row],[M3 '[g'] PESO CRISOL+MUESTRA (SECA)]]-Tabla1[[#This Row],[M1 '[g']]]-Tabla1[[#This Row],[M4 '[g']  PESO CRISOL + CENIZAS]]-Tabla1[[#This Row],[M5]])</f>
        <v>5.1999999999996049E-2</v>
      </c>
      <c r="K87" s="407">
        <f>IF(OR(ISBLANK(Tabla1[[#This Row],[M3 '[g'] PESO CRISOL+MUESTRA (SECA)]]),ISBLANK(Tabla1[[#This Row],[M1 '[g']]]),ISBLANK(Tabla1[[#This Row],[M4 '[g']  PESO CRISOL + CENIZAS]])),"",Tabla1[[#This Row],[M3 '[g'] PESO CRISOL+MUESTRA (SECA)]]-Tabla1[[#This Row],[M1 '[g']]]-Tabla1[[#This Row],[M4 '[g']  PESO CRISOL + CENIZAS]])</f>
        <v>5.4099999999998261E-2</v>
      </c>
      <c r="L87" s="407">
        <f>IF(ISNUMBER(Tabla1[[#This Row],[%FIBRA TOTAL]]),Tabla1[[#This Row],[%FIBRA TOTAL]]*(100-Tabla1[[#This Row],[%Grasa y/o % humedad En la Muestra g/100g]])/100,"")</f>
        <v>5.0502349999998371E-2</v>
      </c>
      <c r="M87" s="393">
        <v>6.65</v>
      </c>
      <c r="N87" s="399" t="s">
        <v>1231</v>
      </c>
      <c r="O87" s="411" t="s">
        <v>1217</v>
      </c>
      <c r="P87" s="412" t="s">
        <v>1335</v>
      </c>
      <c r="Q87" s="413" t="s">
        <v>1268</v>
      </c>
      <c r="R87" s="414"/>
    </row>
    <row r="88" spans="1:18" ht="15.75" customHeight="1" x14ac:dyDescent="0.3">
      <c r="A88" s="397">
        <v>44328</v>
      </c>
      <c r="B88" s="398" t="s">
        <v>900</v>
      </c>
      <c r="C88" s="399" t="s">
        <v>1267</v>
      </c>
      <c r="D88" s="399" t="s">
        <v>1269</v>
      </c>
      <c r="E88" s="399">
        <v>0.25619999999999998</v>
      </c>
      <c r="F88" s="399">
        <v>1.0028999999999999</v>
      </c>
      <c r="G88" s="400">
        <v>22.8249</v>
      </c>
      <c r="H88" s="400">
        <v>22.5152</v>
      </c>
      <c r="I88" s="400">
        <v>2.1000000000022112E-3</v>
      </c>
      <c r="J88" s="406">
        <f>IF(OR(ISBLANK(Tabla1[[#This Row],[M3 '[g'] PESO CRISOL+MUESTRA (SECA)]]),ISBLANK(Tabla1[[#This Row],[M1 '[g']]]),ISBLANK(Tabla1[[#This Row],[M4 '[g']  PESO CRISOL + CENIZAS]]),ISBLANK(Tabla1[[#This Row],[M5]])),"",Tabla1[[#This Row],[M3 '[g'] PESO CRISOL+MUESTRA (SECA)]]-Tabla1[[#This Row],[M1 '[g']]]-Tabla1[[#This Row],[M4 '[g']  PESO CRISOL + CENIZAS]]-Tabla1[[#This Row],[M5]])</f>
        <v>5.1399999999997448E-2</v>
      </c>
      <c r="K88" s="407">
        <f>IF(OR(ISBLANK(Tabla1[[#This Row],[M3 '[g'] PESO CRISOL+MUESTRA (SECA)]]),ISBLANK(Tabla1[[#This Row],[M1 '[g']]]),ISBLANK(Tabla1[[#This Row],[M4 '[g']  PESO CRISOL + CENIZAS]])),"",Tabla1[[#This Row],[M3 '[g'] PESO CRISOL+MUESTRA (SECA)]]-Tabla1[[#This Row],[M1 '[g']]]-Tabla1[[#This Row],[M4 '[g']  PESO CRISOL + CENIZAS]])</f>
        <v>5.3499999999999659E-2</v>
      </c>
      <c r="L88" s="407">
        <f>IF(ISNUMBER(Tabla1[[#This Row],[%FIBRA TOTAL]]),Tabla1[[#This Row],[%FIBRA TOTAL]]*(100-Tabla1[[#This Row],[%Grasa y/o % humedad En la Muestra g/100g]])/100,"")</f>
        <v>4.9942249999999681E-2</v>
      </c>
      <c r="M88" s="393">
        <v>6.65</v>
      </c>
      <c r="N88" s="399" t="s">
        <v>1231</v>
      </c>
      <c r="O88" s="411" t="s">
        <v>1217</v>
      </c>
      <c r="P88" s="412" t="s">
        <v>1347</v>
      </c>
      <c r="Q88" s="413" t="s">
        <v>1268</v>
      </c>
      <c r="R88" s="414"/>
    </row>
    <row r="89" spans="1:18" ht="15.75" customHeight="1" x14ac:dyDescent="0.3">
      <c r="A89" s="397"/>
      <c r="B89" s="398"/>
      <c r="C89" s="399"/>
      <c r="D89" s="399"/>
      <c r="E89" s="399"/>
      <c r="F89" s="399"/>
      <c r="G89" s="400"/>
      <c r="H89" s="400"/>
      <c r="I89" s="400"/>
      <c r="J89" s="406" t="str">
        <f>IF(OR(ISBLANK(Tabla1[[#This Row],[M3 '[g'] PESO CRISOL+MUESTRA (SECA)]]),ISBLANK(Tabla1[[#This Row],[M1 '[g']]]),ISBLANK(Tabla1[[#This Row],[M4 '[g']  PESO CRISOL + CENIZAS]]),ISBLANK(Tabla1[[#This Row],[M5]])),"",Tabla1[[#This Row],[M3 '[g'] PESO CRISOL+MUESTRA (SECA)]]-Tabla1[[#This Row],[M1 '[g']]]-Tabla1[[#This Row],[M4 '[g']  PESO CRISOL + CENIZAS]]-Tabla1[[#This Row],[M5]])</f>
        <v/>
      </c>
      <c r="K89" s="407" t="str">
        <f>IF(OR(ISBLANK(Tabla1[[#This Row],[M3 '[g'] PESO CRISOL+MUESTRA (SECA)]]),ISBLANK(Tabla1[[#This Row],[M1 '[g']]]),ISBLANK(Tabla1[[#This Row],[M4 '[g']  PESO CRISOL + CENIZAS]])),"",Tabla1[[#This Row],[M3 '[g'] PESO CRISOL+MUESTRA (SECA)]]-Tabla1[[#This Row],[M1 '[g']]]-Tabla1[[#This Row],[M4 '[g']  PESO CRISOL + CENIZAS]])</f>
        <v/>
      </c>
      <c r="L89" s="407" t="str">
        <f>IF(ISNUMBER(Tabla1[[#This Row],[%FIBRA TOTAL]]),Tabla1[[#This Row],[%FIBRA TOTAL]]*(100-Tabla1[[#This Row],[%Grasa y/o % humedad En la Muestra g/100g]])/100,"")</f>
        <v/>
      </c>
      <c r="M89" s="393"/>
      <c r="N89" s="399"/>
      <c r="O89" s="411"/>
      <c r="P89" s="412"/>
      <c r="Q89" s="413"/>
      <c r="R89" s="413"/>
    </row>
    <row r="90" spans="1:18" ht="15.75" customHeight="1" x14ac:dyDescent="0.3">
      <c r="A90" s="397"/>
      <c r="B90" s="398"/>
      <c r="C90" s="399"/>
      <c r="D90" s="399"/>
      <c r="E90" s="399"/>
      <c r="F90" s="400"/>
      <c r="G90" s="400"/>
      <c r="H90" s="400"/>
      <c r="I90" s="400"/>
      <c r="J90" s="406" t="str">
        <f>IF(OR(ISBLANK(Tabla1[[#This Row],[M3 '[g'] PESO CRISOL+MUESTRA (SECA)]]),ISBLANK(Tabla1[[#This Row],[M1 '[g']]]),ISBLANK(Tabla1[[#This Row],[M4 '[g']  PESO CRISOL + CENIZAS]]),ISBLANK(Tabla1[[#This Row],[M5]])),"",Tabla1[[#This Row],[M3 '[g'] PESO CRISOL+MUESTRA (SECA)]]-Tabla1[[#This Row],[M1 '[g']]]-Tabla1[[#This Row],[M4 '[g']  PESO CRISOL + CENIZAS]]-Tabla1[[#This Row],[M5]])</f>
        <v/>
      </c>
      <c r="K90" s="407" t="str">
        <f>IF(OR(ISBLANK(Tabla1[[#This Row],[M3 '[g'] PESO CRISOL+MUESTRA (SECA)]]),ISBLANK(Tabla1[[#This Row],[M1 '[g']]]),ISBLANK(Tabla1[[#This Row],[M4 '[g']  PESO CRISOL + CENIZAS]])),"",Tabla1[[#This Row],[M3 '[g'] PESO CRISOL+MUESTRA (SECA)]]-Tabla1[[#This Row],[M1 '[g']]]-Tabla1[[#This Row],[M4 '[g']  PESO CRISOL + CENIZAS]])</f>
        <v/>
      </c>
      <c r="L90" s="407" t="str">
        <f>IF(ISNUMBER(Tabla1[[#This Row],[%FIBRA TOTAL]]),Tabla1[[#This Row],[%FIBRA TOTAL]]*(100-Tabla1[[#This Row],[%Grasa y/o % humedad En la Muestra g/100g]])/100,"")</f>
        <v/>
      </c>
      <c r="M90" s="393"/>
      <c r="N90" s="399"/>
      <c r="O90" s="411"/>
      <c r="P90" s="412"/>
      <c r="Q90" s="413"/>
      <c r="R90" s="413"/>
    </row>
    <row r="91" spans="1:18" ht="15.75" customHeight="1" x14ac:dyDescent="0.3">
      <c r="A91" s="397"/>
      <c r="B91" s="398"/>
      <c r="C91" s="399"/>
      <c r="D91" s="399"/>
      <c r="E91" s="399"/>
      <c r="F91" s="399"/>
      <c r="G91" s="400"/>
      <c r="H91" s="400"/>
      <c r="I91" s="400"/>
      <c r="J91" s="406" t="str">
        <f>IF(OR(ISBLANK(Tabla1[[#This Row],[M3 '[g'] PESO CRISOL+MUESTRA (SECA)]]),ISBLANK(Tabla1[[#This Row],[M1 '[g']]]),ISBLANK(Tabla1[[#This Row],[M4 '[g']  PESO CRISOL + CENIZAS]]),ISBLANK(Tabla1[[#This Row],[M5]])),"",Tabla1[[#This Row],[M3 '[g'] PESO CRISOL+MUESTRA (SECA)]]-Tabla1[[#This Row],[M1 '[g']]]-Tabla1[[#This Row],[M4 '[g']  PESO CRISOL + CENIZAS]]-Tabla1[[#This Row],[M5]])</f>
        <v/>
      </c>
      <c r="K91" s="407" t="str">
        <f>IF(OR(ISBLANK(Tabla1[[#This Row],[M3 '[g'] PESO CRISOL+MUESTRA (SECA)]]),ISBLANK(Tabla1[[#This Row],[M1 '[g']]]),ISBLANK(Tabla1[[#This Row],[M4 '[g']  PESO CRISOL + CENIZAS]])),"",Tabla1[[#This Row],[M3 '[g'] PESO CRISOL+MUESTRA (SECA)]]-Tabla1[[#This Row],[M1 '[g']]]-Tabla1[[#This Row],[M4 '[g']  PESO CRISOL + CENIZAS]])</f>
        <v/>
      </c>
      <c r="L91" s="407" t="str">
        <f>IF(ISNUMBER(Tabla1[[#This Row],[%FIBRA TOTAL]]),Tabla1[[#This Row],[%FIBRA TOTAL]]*(100-Tabla1[[#This Row],[%Grasa y/o % humedad En la Muestra g/100g]])/100,"")</f>
        <v/>
      </c>
      <c r="M91" s="393"/>
      <c r="N91" s="399"/>
      <c r="O91" s="411"/>
      <c r="P91" s="412"/>
      <c r="Q91" s="413"/>
      <c r="R91" s="413"/>
    </row>
    <row r="92" spans="1:18" ht="15.75" customHeight="1" x14ac:dyDescent="0.3">
      <c r="A92" s="397"/>
      <c r="B92" s="398"/>
      <c r="C92" s="399"/>
      <c r="D92" s="399"/>
      <c r="E92" s="399"/>
      <c r="F92" s="399"/>
      <c r="G92" s="400"/>
      <c r="H92" s="400"/>
      <c r="I92" s="400"/>
      <c r="J92" s="406" t="str">
        <f>IF(OR(ISBLANK(Tabla1[[#This Row],[M3 '[g'] PESO CRISOL+MUESTRA (SECA)]]),ISBLANK(Tabla1[[#This Row],[M1 '[g']]]),ISBLANK(Tabla1[[#This Row],[M4 '[g']  PESO CRISOL + CENIZAS]]),ISBLANK(Tabla1[[#This Row],[M5]])),"",Tabla1[[#This Row],[M3 '[g'] PESO CRISOL+MUESTRA (SECA)]]-Tabla1[[#This Row],[M1 '[g']]]-Tabla1[[#This Row],[M4 '[g']  PESO CRISOL + CENIZAS]]-Tabla1[[#This Row],[M5]])</f>
        <v/>
      </c>
      <c r="K92" s="407" t="str">
        <f>IF(OR(ISBLANK(Tabla1[[#This Row],[M3 '[g'] PESO CRISOL+MUESTRA (SECA)]]),ISBLANK(Tabla1[[#This Row],[M1 '[g']]]),ISBLANK(Tabla1[[#This Row],[M4 '[g']  PESO CRISOL + CENIZAS]])),"",Tabla1[[#This Row],[M3 '[g'] PESO CRISOL+MUESTRA (SECA)]]-Tabla1[[#This Row],[M1 '[g']]]-Tabla1[[#This Row],[M4 '[g']  PESO CRISOL + CENIZAS]])</f>
        <v/>
      </c>
      <c r="L92" s="407" t="str">
        <f>IF(ISNUMBER(Tabla1[[#This Row],[%FIBRA TOTAL]]),Tabla1[[#This Row],[%FIBRA TOTAL]]*(100-Tabla1[[#This Row],[%Grasa y/o % humedad En la Muestra g/100g]])/100,"")</f>
        <v/>
      </c>
      <c r="M92" s="393"/>
      <c r="N92" s="399"/>
      <c r="O92" s="411"/>
      <c r="P92" s="412"/>
      <c r="Q92" s="413"/>
      <c r="R92" s="413"/>
    </row>
    <row r="93" spans="1:18" ht="15.75" customHeight="1" x14ac:dyDescent="0.3">
      <c r="A93" s="397"/>
      <c r="B93" s="398"/>
      <c r="C93" s="399"/>
      <c r="D93" s="399"/>
      <c r="E93" s="399"/>
      <c r="F93" s="399"/>
      <c r="G93" s="400"/>
      <c r="H93" s="400"/>
      <c r="I93" s="400"/>
      <c r="J93" s="406" t="str">
        <f>IF(OR(ISBLANK(Tabla1[[#This Row],[M3 '[g'] PESO CRISOL+MUESTRA (SECA)]]),ISBLANK(Tabla1[[#This Row],[M1 '[g']]]),ISBLANK(Tabla1[[#This Row],[M4 '[g']  PESO CRISOL + CENIZAS]]),ISBLANK(Tabla1[[#This Row],[M5]])),"",Tabla1[[#This Row],[M3 '[g'] PESO CRISOL+MUESTRA (SECA)]]-Tabla1[[#This Row],[M1 '[g']]]-Tabla1[[#This Row],[M4 '[g']  PESO CRISOL + CENIZAS]]-Tabla1[[#This Row],[M5]])</f>
        <v/>
      </c>
      <c r="K93" s="407" t="str">
        <f>IF(OR(ISBLANK(Tabla1[[#This Row],[M3 '[g'] PESO CRISOL+MUESTRA (SECA)]]),ISBLANK(Tabla1[[#This Row],[M1 '[g']]]),ISBLANK(Tabla1[[#This Row],[M4 '[g']  PESO CRISOL + CENIZAS]])),"",Tabla1[[#This Row],[M3 '[g'] PESO CRISOL+MUESTRA (SECA)]]-Tabla1[[#This Row],[M1 '[g']]]-Tabla1[[#This Row],[M4 '[g']  PESO CRISOL + CENIZAS]])</f>
        <v/>
      </c>
      <c r="L93" s="407" t="str">
        <f>IF(ISNUMBER(Tabla1[[#This Row],[%FIBRA TOTAL]]),Tabla1[[#This Row],[%FIBRA TOTAL]]*(100-Tabla1[[#This Row],[%Grasa y/o % humedad En la Muestra g/100g]])/100,"")</f>
        <v/>
      </c>
      <c r="M93" s="393"/>
      <c r="N93" s="399"/>
      <c r="O93" s="411"/>
      <c r="P93" s="412"/>
      <c r="Q93" s="413"/>
      <c r="R93" s="413"/>
    </row>
    <row r="94" spans="1:18" ht="15.75" customHeight="1" x14ac:dyDescent="0.3">
      <c r="A94" s="397"/>
      <c r="B94" s="398"/>
      <c r="C94" s="399"/>
      <c r="D94" s="399"/>
      <c r="E94" s="399"/>
      <c r="F94" s="399"/>
      <c r="G94" s="400"/>
      <c r="H94" s="400"/>
      <c r="I94" s="400"/>
      <c r="J94" s="406" t="str">
        <f>IF(OR(ISBLANK(Tabla1[[#This Row],[M3 '[g'] PESO CRISOL+MUESTRA (SECA)]]),ISBLANK(Tabla1[[#This Row],[M1 '[g']]]),ISBLANK(Tabla1[[#This Row],[M4 '[g']  PESO CRISOL + CENIZAS]]),ISBLANK(Tabla1[[#This Row],[M5]])),"",Tabla1[[#This Row],[M3 '[g'] PESO CRISOL+MUESTRA (SECA)]]-Tabla1[[#This Row],[M1 '[g']]]-Tabla1[[#This Row],[M4 '[g']  PESO CRISOL + CENIZAS]]-Tabla1[[#This Row],[M5]])</f>
        <v/>
      </c>
      <c r="K94" s="407" t="str">
        <f>IF(OR(ISBLANK(Tabla1[[#This Row],[M3 '[g'] PESO CRISOL+MUESTRA (SECA)]]),ISBLANK(Tabla1[[#This Row],[M1 '[g']]]),ISBLANK(Tabla1[[#This Row],[M4 '[g']  PESO CRISOL + CENIZAS]])),"",Tabla1[[#This Row],[M3 '[g'] PESO CRISOL+MUESTRA (SECA)]]-Tabla1[[#This Row],[M1 '[g']]]-Tabla1[[#This Row],[M4 '[g']  PESO CRISOL + CENIZAS]])</f>
        <v/>
      </c>
      <c r="L94" s="407" t="str">
        <f>IF(ISNUMBER(Tabla1[[#This Row],[%FIBRA TOTAL]]),Tabla1[[#This Row],[%FIBRA TOTAL]]*(100-Tabla1[[#This Row],[%Grasa y/o % humedad En la Muestra g/100g]])/100,"")</f>
        <v/>
      </c>
      <c r="M94" s="393"/>
      <c r="N94" s="399"/>
      <c r="O94" s="411"/>
      <c r="P94" s="412"/>
      <c r="Q94" s="413"/>
      <c r="R94" s="413"/>
    </row>
    <row r="95" spans="1:18" ht="15.75" customHeight="1" x14ac:dyDescent="0.3">
      <c r="A95" s="397"/>
      <c r="B95" s="398"/>
      <c r="C95" s="399"/>
      <c r="D95" s="399"/>
      <c r="E95" s="399"/>
      <c r="F95" s="399"/>
      <c r="G95" s="400"/>
      <c r="H95" s="400"/>
      <c r="I95" s="400"/>
      <c r="J95" s="406" t="str">
        <f>IF(OR(ISBLANK(Tabla1[[#This Row],[M3 '[g'] PESO CRISOL+MUESTRA (SECA)]]),ISBLANK(Tabla1[[#This Row],[M1 '[g']]]),ISBLANK(Tabla1[[#This Row],[M4 '[g']  PESO CRISOL + CENIZAS]]),ISBLANK(Tabla1[[#This Row],[M5]])),"",Tabla1[[#This Row],[M3 '[g'] PESO CRISOL+MUESTRA (SECA)]]-Tabla1[[#This Row],[M1 '[g']]]-Tabla1[[#This Row],[M4 '[g']  PESO CRISOL + CENIZAS]]-Tabla1[[#This Row],[M5]])</f>
        <v/>
      </c>
      <c r="K95" s="407" t="str">
        <f>IF(OR(ISBLANK(Tabla1[[#This Row],[M3 '[g'] PESO CRISOL+MUESTRA (SECA)]]),ISBLANK(Tabla1[[#This Row],[M1 '[g']]]),ISBLANK(Tabla1[[#This Row],[M4 '[g']  PESO CRISOL + CENIZAS]])),"",Tabla1[[#This Row],[M3 '[g'] PESO CRISOL+MUESTRA (SECA)]]-Tabla1[[#This Row],[M1 '[g']]]-Tabla1[[#This Row],[M4 '[g']  PESO CRISOL + CENIZAS]])</f>
        <v/>
      </c>
      <c r="L95" s="407" t="str">
        <f>IF(ISNUMBER(Tabla1[[#This Row],[%FIBRA TOTAL]]),Tabla1[[#This Row],[%FIBRA TOTAL]]*(100-Tabla1[[#This Row],[%Grasa y/o % humedad En la Muestra g/100g]])/100,"")</f>
        <v/>
      </c>
      <c r="M95" s="393"/>
      <c r="N95" s="399"/>
      <c r="O95" s="411"/>
      <c r="P95" s="412"/>
      <c r="Q95" s="413"/>
      <c r="R95" s="413"/>
    </row>
    <row r="96" spans="1:18" ht="15.75" customHeight="1" x14ac:dyDescent="0.3">
      <c r="A96" s="397"/>
      <c r="B96" s="398"/>
      <c r="C96" s="399"/>
      <c r="D96" s="399"/>
      <c r="E96" s="399"/>
      <c r="F96" s="399"/>
      <c r="G96" s="400"/>
      <c r="H96" s="400"/>
      <c r="I96" s="400"/>
      <c r="J96" s="406" t="str">
        <f>IF(OR(ISBLANK(Tabla1[[#This Row],[M3 '[g'] PESO CRISOL+MUESTRA (SECA)]]),ISBLANK(Tabla1[[#This Row],[M1 '[g']]]),ISBLANK(Tabla1[[#This Row],[M4 '[g']  PESO CRISOL + CENIZAS]]),ISBLANK(Tabla1[[#This Row],[M5]])),"",Tabla1[[#This Row],[M3 '[g'] PESO CRISOL+MUESTRA (SECA)]]-Tabla1[[#This Row],[M1 '[g']]]-Tabla1[[#This Row],[M4 '[g']  PESO CRISOL + CENIZAS]]-Tabla1[[#This Row],[M5]])</f>
        <v/>
      </c>
      <c r="K96" s="407" t="str">
        <f>IF(OR(ISBLANK(Tabla1[[#This Row],[M3 '[g'] PESO CRISOL+MUESTRA (SECA)]]),ISBLANK(Tabla1[[#This Row],[M1 '[g']]]),ISBLANK(Tabla1[[#This Row],[M4 '[g']  PESO CRISOL + CENIZAS]])),"",Tabla1[[#This Row],[M3 '[g'] PESO CRISOL+MUESTRA (SECA)]]-Tabla1[[#This Row],[M1 '[g']]]-Tabla1[[#This Row],[M4 '[g']  PESO CRISOL + CENIZAS]])</f>
        <v/>
      </c>
      <c r="L96" s="407" t="str">
        <f>IF(ISNUMBER(Tabla1[[#This Row],[%FIBRA TOTAL]]),Tabla1[[#This Row],[%FIBRA TOTAL]]*(100-Tabla1[[#This Row],[%Grasa y/o % humedad En la Muestra g/100g]])/100,"")</f>
        <v/>
      </c>
      <c r="M96" s="393"/>
      <c r="N96" s="399"/>
      <c r="O96" s="411"/>
      <c r="P96" s="412"/>
      <c r="Q96" s="413"/>
      <c r="R96" s="413"/>
    </row>
    <row r="97" spans="1:18" ht="15.75" customHeight="1" x14ac:dyDescent="0.3">
      <c r="A97" s="397"/>
      <c r="B97" s="398"/>
      <c r="C97" s="399"/>
      <c r="D97" s="399"/>
      <c r="E97" s="399"/>
      <c r="F97" s="399"/>
      <c r="G97" s="400"/>
      <c r="H97" s="400"/>
      <c r="I97" s="400"/>
      <c r="J97" s="406" t="str">
        <f>IF(OR(ISBLANK(Tabla1[[#This Row],[M3 '[g'] PESO CRISOL+MUESTRA (SECA)]]),ISBLANK(Tabla1[[#This Row],[M1 '[g']]]),ISBLANK(Tabla1[[#This Row],[M4 '[g']  PESO CRISOL + CENIZAS]]),ISBLANK(Tabla1[[#This Row],[M5]])),"",Tabla1[[#This Row],[M3 '[g'] PESO CRISOL+MUESTRA (SECA)]]-Tabla1[[#This Row],[M1 '[g']]]-Tabla1[[#This Row],[M4 '[g']  PESO CRISOL + CENIZAS]]-Tabla1[[#This Row],[M5]])</f>
        <v/>
      </c>
      <c r="K97" s="407" t="str">
        <f>IF(OR(ISBLANK(Tabla1[[#This Row],[M3 '[g'] PESO CRISOL+MUESTRA (SECA)]]),ISBLANK(Tabla1[[#This Row],[M1 '[g']]]),ISBLANK(Tabla1[[#This Row],[M4 '[g']  PESO CRISOL + CENIZAS]])),"",Tabla1[[#This Row],[M3 '[g'] PESO CRISOL+MUESTRA (SECA)]]-Tabla1[[#This Row],[M1 '[g']]]-Tabla1[[#This Row],[M4 '[g']  PESO CRISOL + CENIZAS]])</f>
        <v/>
      </c>
      <c r="L97" s="407" t="str">
        <f>IF(ISNUMBER(Tabla1[[#This Row],[%FIBRA TOTAL]]),Tabla1[[#This Row],[%FIBRA TOTAL]]*(100-Tabla1[[#This Row],[%Grasa y/o % humedad En la Muestra g/100g]])/100,"")</f>
        <v/>
      </c>
      <c r="M97" s="393"/>
      <c r="N97" s="399"/>
      <c r="O97" s="411"/>
      <c r="P97" s="412"/>
      <c r="Q97" s="413"/>
      <c r="R97" s="413"/>
    </row>
    <row r="98" spans="1:18" ht="15.75" customHeight="1" x14ac:dyDescent="0.3">
      <c r="A98" s="397"/>
      <c r="B98" s="398"/>
      <c r="C98" s="399"/>
      <c r="D98" s="399"/>
      <c r="E98" s="399"/>
      <c r="F98" s="399"/>
      <c r="G98" s="400"/>
      <c r="H98" s="400"/>
      <c r="I98" s="400"/>
      <c r="J98" s="406" t="str">
        <f>IF(OR(ISBLANK(Tabla1[[#This Row],[M3 '[g'] PESO CRISOL+MUESTRA (SECA)]]),ISBLANK(Tabla1[[#This Row],[M1 '[g']]]),ISBLANK(Tabla1[[#This Row],[M4 '[g']  PESO CRISOL + CENIZAS]]),ISBLANK(Tabla1[[#This Row],[M5]])),"",Tabla1[[#This Row],[M3 '[g'] PESO CRISOL+MUESTRA (SECA)]]-Tabla1[[#This Row],[M1 '[g']]]-Tabla1[[#This Row],[M4 '[g']  PESO CRISOL + CENIZAS]]-Tabla1[[#This Row],[M5]])</f>
        <v/>
      </c>
      <c r="K98" s="407" t="str">
        <f>IF(OR(ISBLANK(Tabla1[[#This Row],[M3 '[g'] PESO CRISOL+MUESTRA (SECA)]]),ISBLANK(Tabla1[[#This Row],[M1 '[g']]]),ISBLANK(Tabla1[[#This Row],[M4 '[g']  PESO CRISOL + CENIZAS]])),"",Tabla1[[#This Row],[M3 '[g'] PESO CRISOL+MUESTRA (SECA)]]-Tabla1[[#This Row],[M1 '[g']]]-Tabla1[[#This Row],[M4 '[g']  PESO CRISOL + CENIZAS]])</f>
        <v/>
      </c>
      <c r="L98" s="407" t="str">
        <f>IF(ISNUMBER(Tabla1[[#This Row],[%FIBRA TOTAL]]),Tabla1[[#This Row],[%FIBRA TOTAL]]*(100-Tabla1[[#This Row],[%Grasa y/o % humedad En la Muestra g/100g]])/100,"")</f>
        <v/>
      </c>
      <c r="M98" s="393"/>
      <c r="N98" s="399"/>
      <c r="O98" s="411"/>
      <c r="P98" s="412"/>
      <c r="Q98" s="413"/>
      <c r="R98" s="413"/>
    </row>
    <row r="99" spans="1:18" ht="15.75" customHeight="1" x14ac:dyDescent="0.3">
      <c r="A99" s="397"/>
      <c r="B99" s="398"/>
      <c r="C99" s="399"/>
      <c r="D99" s="399"/>
      <c r="E99" s="399"/>
      <c r="F99" s="399"/>
      <c r="G99" s="400"/>
      <c r="H99" s="400"/>
      <c r="I99" s="400"/>
      <c r="J99" s="406" t="str">
        <f>IF(OR(ISBLANK(Tabla1[[#This Row],[M3 '[g'] PESO CRISOL+MUESTRA (SECA)]]),ISBLANK(Tabla1[[#This Row],[M1 '[g']]]),ISBLANK(Tabla1[[#This Row],[M4 '[g']  PESO CRISOL + CENIZAS]]),ISBLANK(Tabla1[[#This Row],[M5]])),"",Tabla1[[#This Row],[M3 '[g'] PESO CRISOL+MUESTRA (SECA)]]-Tabla1[[#This Row],[M1 '[g']]]-Tabla1[[#This Row],[M4 '[g']  PESO CRISOL + CENIZAS]]-Tabla1[[#This Row],[M5]])</f>
        <v/>
      </c>
      <c r="K99" s="407" t="str">
        <f>IF(OR(ISBLANK(Tabla1[[#This Row],[M3 '[g'] PESO CRISOL+MUESTRA (SECA)]]),ISBLANK(Tabla1[[#This Row],[M1 '[g']]]),ISBLANK(Tabla1[[#This Row],[M4 '[g']  PESO CRISOL + CENIZAS]])),"",Tabla1[[#This Row],[M3 '[g'] PESO CRISOL+MUESTRA (SECA)]]-Tabla1[[#This Row],[M1 '[g']]]-Tabla1[[#This Row],[M4 '[g']  PESO CRISOL + CENIZAS]])</f>
        <v/>
      </c>
      <c r="L99" s="407" t="str">
        <f>IF(ISNUMBER(Tabla1[[#This Row],[%FIBRA TOTAL]]),Tabla1[[#This Row],[%FIBRA TOTAL]]*(100-Tabla1[[#This Row],[%Grasa y/o % humedad En la Muestra g/100g]])/100,"")</f>
        <v/>
      </c>
      <c r="M99" s="393"/>
      <c r="N99" s="399"/>
      <c r="O99" s="411"/>
      <c r="P99" s="412"/>
      <c r="Q99" s="413"/>
      <c r="R99" s="413"/>
    </row>
    <row r="100" spans="1:18" ht="15.75" customHeight="1" x14ac:dyDescent="0.3">
      <c r="A100" s="397"/>
      <c r="B100" s="398"/>
      <c r="C100" s="399"/>
      <c r="D100" s="399"/>
      <c r="E100" s="399"/>
      <c r="F100" s="399"/>
      <c r="G100" s="400"/>
      <c r="H100" s="400"/>
      <c r="I100" s="400"/>
      <c r="J100" s="406" t="str">
        <f>IF(OR(ISBLANK(Tabla1[[#This Row],[M3 '[g'] PESO CRISOL+MUESTRA (SECA)]]),ISBLANK(Tabla1[[#This Row],[M1 '[g']]]),ISBLANK(Tabla1[[#This Row],[M4 '[g']  PESO CRISOL + CENIZAS]]),ISBLANK(Tabla1[[#This Row],[M5]])),"",Tabla1[[#This Row],[M3 '[g'] PESO CRISOL+MUESTRA (SECA)]]-Tabla1[[#This Row],[M1 '[g']]]-Tabla1[[#This Row],[M4 '[g']  PESO CRISOL + CENIZAS]]-Tabla1[[#This Row],[M5]])</f>
        <v/>
      </c>
      <c r="K100" s="407" t="str">
        <f>IF(OR(ISBLANK(Tabla1[[#This Row],[M3 '[g'] PESO CRISOL+MUESTRA (SECA)]]),ISBLANK(Tabla1[[#This Row],[M1 '[g']]]),ISBLANK(Tabla1[[#This Row],[M4 '[g']  PESO CRISOL + CENIZAS]])),"",Tabla1[[#This Row],[M3 '[g'] PESO CRISOL+MUESTRA (SECA)]]-Tabla1[[#This Row],[M1 '[g']]]-Tabla1[[#This Row],[M4 '[g']  PESO CRISOL + CENIZAS]])</f>
        <v/>
      </c>
      <c r="L100" s="407" t="str">
        <f>IF(ISNUMBER(Tabla1[[#This Row],[%FIBRA TOTAL]]),Tabla1[[#This Row],[%FIBRA TOTAL]]*(100-Tabla1[[#This Row],[%Grasa y/o % humedad En la Muestra g/100g]])/100,"")</f>
        <v/>
      </c>
      <c r="M100" s="393"/>
      <c r="N100" s="399"/>
      <c r="O100" s="411"/>
      <c r="P100" s="412"/>
      <c r="Q100" s="413"/>
      <c r="R100" s="413"/>
    </row>
    <row r="101" spans="1:18" ht="15.75" customHeight="1" x14ac:dyDescent="0.3">
      <c r="A101" s="397"/>
      <c r="B101" s="398"/>
      <c r="C101" s="399"/>
      <c r="D101" s="399"/>
      <c r="E101" s="399"/>
      <c r="F101" s="399"/>
      <c r="G101" s="400"/>
      <c r="H101" s="400"/>
      <c r="I101" s="400"/>
      <c r="J101" s="406" t="str">
        <f>IF(OR(ISBLANK(Tabla1[[#This Row],[M3 '[g'] PESO CRISOL+MUESTRA (SECA)]]),ISBLANK(Tabla1[[#This Row],[M1 '[g']]]),ISBLANK(Tabla1[[#This Row],[M4 '[g']  PESO CRISOL + CENIZAS]]),ISBLANK(Tabla1[[#This Row],[M5]])),"",Tabla1[[#This Row],[M3 '[g'] PESO CRISOL+MUESTRA (SECA)]]-Tabla1[[#This Row],[M1 '[g']]]-Tabla1[[#This Row],[M4 '[g']  PESO CRISOL + CENIZAS]]-Tabla1[[#This Row],[M5]])</f>
        <v/>
      </c>
      <c r="K101" s="407" t="str">
        <f>IF(OR(ISBLANK(Tabla1[[#This Row],[M3 '[g'] PESO CRISOL+MUESTRA (SECA)]]),ISBLANK(Tabla1[[#This Row],[M1 '[g']]]),ISBLANK(Tabla1[[#This Row],[M4 '[g']  PESO CRISOL + CENIZAS]])),"",Tabla1[[#This Row],[M3 '[g'] PESO CRISOL+MUESTRA (SECA)]]-Tabla1[[#This Row],[M1 '[g']]]-Tabla1[[#This Row],[M4 '[g']  PESO CRISOL + CENIZAS]])</f>
        <v/>
      </c>
      <c r="L101" s="407" t="str">
        <f>IF(ISNUMBER(Tabla1[[#This Row],[%FIBRA TOTAL]]),Tabla1[[#This Row],[%FIBRA TOTAL]]*(100-Tabla1[[#This Row],[%Grasa y/o % humedad En la Muestra g/100g]])/100,"")</f>
        <v/>
      </c>
      <c r="M101" s="393"/>
      <c r="N101" s="399"/>
      <c r="O101" s="411"/>
      <c r="P101" s="412"/>
      <c r="Q101" s="413"/>
      <c r="R101" s="413"/>
    </row>
    <row r="102" spans="1:18" ht="15.75" customHeight="1" x14ac:dyDescent="0.3">
      <c r="A102" s="397"/>
      <c r="B102" s="398"/>
      <c r="C102" s="399"/>
      <c r="D102" s="399"/>
      <c r="E102" s="399"/>
      <c r="F102" s="399"/>
      <c r="G102" s="400"/>
      <c r="H102" s="400"/>
      <c r="I102" s="400"/>
      <c r="J102" s="406" t="str">
        <f>IF(OR(ISBLANK(Tabla1[[#This Row],[M3 '[g'] PESO CRISOL+MUESTRA (SECA)]]),ISBLANK(Tabla1[[#This Row],[M1 '[g']]]),ISBLANK(Tabla1[[#This Row],[M4 '[g']  PESO CRISOL + CENIZAS]]),ISBLANK(Tabla1[[#This Row],[M5]])),"",Tabla1[[#This Row],[M3 '[g'] PESO CRISOL+MUESTRA (SECA)]]-Tabla1[[#This Row],[M1 '[g']]]-Tabla1[[#This Row],[M4 '[g']  PESO CRISOL + CENIZAS]]-Tabla1[[#This Row],[M5]])</f>
        <v/>
      </c>
      <c r="K102" s="407" t="str">
        <f>IF(OR(ISBLANK(Tabla1[[#This Row],[M3 '[g'] PESO CRISOL+MUESTRA (SECA)]]),ISBLANK(Tabla1[[#This Row],[M1 '[g']]]),ISBLANK(Tabla1[[#This Row],[M4 '[g']  PESO CRISOL + CENIZAS]])),"",Tabla1[[#This Row],[M3 '[g'] PESO CRISOL+MUESTRA (SECA)]]-Tabla1[[#This Row],[M1 '[g']]]-Tabla1[[#This Row],[M4 '[g']  PESO CRISOL + CENIZAS]])</f>
        <v/>
      </c>
      <c r="L102" s="407" t="str">
        <f>IF(ISNUMBER(Tabla1[[#This Row],[%FIBRA TOTAL]]),Tabla1[[#This Row],[%FIBRA TOTAL]]*(100-Tabla1[[#This Row],[%Grasa y/o % humedad En la Muestra g/100g]])/100,"")</f>
        <v/>
      </c>
      <c r="M102" s="393"/>
      <c r="N102" s="399"/>
      <c r="O102" s="411"/>
      <c r="P102" s="412"/>
      <c r="Q102" s="413"/>
      <c r="R102" s="413"/>
    </row>
    <row r="103" spans="1:18" ht="15.75" customHeight="1" x14ac:dyDescent="0.3">
      <c r="A103" s="397"/>
      <c r="B103" s="398"/>
      <c r="C103" s="399"/>
      <c r="D103" s="399"/>
      <c r="E103" s="399"/>
      <c r="F103" s="399"/>
      <c r="G103" s="400"/>
      <c r="H103" s="400"/>
      <c r="I103" s="400"/>
      <c r="J103" s="406" t="str">
        <f>IF(OR(ISBLANK(Tabla1[[#This Row],[M3 '[g'] PESO CRISOL+MUESTRA (SECA)]]),ISBLANK(Tabla1[[#This Row],[M1 '[g']]]),ISBLANK(Tabla1[[#This Row],[M4 '[g']  PESO CRISOL + CENIZAS]]),ISBLANK(Tabla1[[#This Row],[M5]])),"",Tabla1[[#This Row],[M3 '[g'] PESO CRISOL+MUESTRA (SECA)]]-Tabla1[[#This Row],[M1 '[g']]]-Tabla1[[#This Row],[M4 '[g']  PESO CRISOL + CENIZAS]]-Tabla1[[#This Row],[M5]])</f>
        <v/>
      </c>
      <c r="K103" s="407" t="str">
        <f>IF(OR(ISBLANK(Tabla1[[#This Row],[M3 '[g'] PESO CRISOL+MUESTRA (SECA)]]),ISBLANK(Tabla1[[#This Row],[M1 '[g']]]),ISBLANK(Tabla1[[#This Row],[M4 '[g']  PESO CRISOL + CENIZAS]])),"",Tabla1[[#This Row],[M3 '[g'] PESO CRISOL+MUESTRA (SECA)]]-Tabla1[[#This Row],[M1 '[g']]]-Tabla1[[#This Row],[M4 '[g']  PESO CRISOL + CENIZAS]])</f>
        <v/>
      </c>
      <c r="L103" s="407" t="str">
        <f>IF(ISNUMBER(Tabla1[[#This Row],[%FIBRA TOTAL]]),Tabla1[[#This Row],[%FIBRA TOTAL]]*(100-Tabla1[[#This Row],[%Grasa y/o % humedad En la Muestra g/100g]])/100,"")</f>
        <v/>
      </c>
      <c r="M103" s="393"/>
      <c r="N103" s="399"/>
      <c r="O103" s="411"/>
      <c r="P103" s="412"/>
      <c r="Q103" s="413"/>
      <c r="R103" s="413"/>
    </row>
    <row r="104" spans="1:18" ht="15.75" customHeight="1" x14ac:dyDescent="0.3">
      <c r="A104" s="397"/>
      <c r="B104" s="398"/>
      <c r="C104" s="399"/>
      <c r="D104" s="399"/>
      <c r="E104" s="399"/>
      <c r="F104" s="399"/>
      <c r="G104" s="400"/>
      <c r="H104" s="400"/>
      <c r="I104" s="400"/>
      <c r="J104" s="406" t="str">
        <f>IF(OR(ISBLANK(Tabla1[[#This Row],[M3 '[g'] PESO CRISOL+MUESTRA (SECA)]]),ISBLANK(Tabla1[[#This Row],[M1 '[g']]]),ISBLANK(Tabla1[[#This Row],[M4 '[g']  PESO CRISOL + CENIZAS]]),ISBLANK(Tabla1[[#This Row],[M5]])),"",Tabla1[[#This Row],[M3 '[g'] PESO CRISOL+MUESTRA (SECA)]]-Tabla1[[#This Row],[M1 '[g']]]-Tabla1[[#This Row],[M4 '[g']  PESO CRISOL + CENIZAS]]-Tabla1[[#This Row],[M5]])</f>
        <v/>
      </c>
      <c r="K104" s="407" t="str">
        <f>IF(OR(ISBLANK(Tabla1[[#This Row],[M3 '[g'] PESO CRISOL+MUESTRA (SECA)]]),ISBLANK(Tabla1[[#This Row],[M1 '[g']]]),ISBLANK(Tabla1[[#This Row],[M4 '[g']  PESO CRISOL + CENIZAS]])),"",Tabla1[[#This Row],[M3 '[g'] PESO CRISOL+MUESTRA (SECA)]]-Tabla1[[#This Row],[M1 '[g']]]-Tabla1[[#This Row],[M4 '[g']  PESO CRISOL + CENIZAS]])</f>
        <v/>
      </c>
      <c r="L104" s="407" t="str">
        <f>IF(ISNUMBER(Tabla1[[#This Row],[%FIBRA TOTAL]]),Tabla1[[#This Row],[%FIBRA TOTAL]]*(100-Tabla1[[#This Row],[%Grasa y/o % humedad En la Muestra g/100g]])/100,"")</f>
        <v/>
      </c>
      <c r="M104" s="393"/>
      <c r="N104" s="399"/>
      <c r="O104" s="411"/>
      <c r="P104" s="412"/>
      <c r="Q104" s="413"/>
      <c r="R104" s="413"/>
    </row>
    <row r="105" spans="1:18" ht="15.75" customHeight="1" x14ac:dyDescent="0.3">
      <c r="A105" s="397"/>
      <c r="B105" s="398"/>
      <c r="C105" s="399"/>
      <c r="D105" s="399"/>
      <c r="E105" s="399"/>
      <c r="F105" s="399"/>
      <c r="G105" s="400"/>
      <c r="H105" s="400"/>
      <c r="I105" s="400"/>
      <c r="J105" s="406" t="str">
        <f>IF(OR(ISBLANK(Tabla1[[#This Row],[M3 '[g'] PESO CRISOL+MUESTRA (SECA)]]),ISBLANK(Tabla1[[#This Row],[M1 '[g']]]),ISBLANK(Tabla1[[#This Row],[M4 '[g']  PESO CRISOL + CENIZAS]]),ISBLANK(Tabla1[[#This Row],[M5]])),"",Tabla1[[#This Row],[M3 '[g'] PESO CRISOL+MUESTRA (SECA)]]-Tabla1[[#This Row],[M1 '[g']]]-Tabla1[[#This Row],[M4 '[g']  PESO CRISOL + CENIZAS]]-Tabla1[[#This Row],[M5]])</f>
        <v/>
      </c>
      <c r="K105" s="407" t="str">
        <f>IF(OR(ISBLANK(Tabla1[[#This Row],[M3 '[g'] PESO CRISOL+MUESTRA (SECA)]]),ISBLANK(Tabla1[[#This Row],[M1 '[g']]]),ISBLANK(Tabla1[[#This Row],[M4 '[g']  PESO CRISOL + CENIZAS]])),"",Tabla1[[#This Row],[M3 '[g'] PESO CRISOL+MUESTRA (SECA)]]-Tabla1[[#This Row],[M1 '[g']]]-Tabla1[[#This Row],[M4 '[g']  PESO CRISOL + CENIZAS]])</f>
        <v/>
      </c>
      <c r="L105" s="407" t="str">
        <f>IF(ISNUMBER(Tabla1[[#This Row],[%FIBRA TOTAL]]),Tabla1[[#This Row],[%FIBRA TOTAL]]*(100-Tabla1[[#This Row],[%Grasa y/o % humedad En la Muestra g/100g]])/100,"")</f>
        <v/>
      </c>
      <c r="M105" s="393"/>
      <c r="N105" s="399"/>
      <c r="O105" s="411"/>
      <c r="P105" s="412"/>
      <c r="Q105" s="413"/>
      <c r="R105" s="413"/>
    </row>
    <row r="106" spans="1:18" ht="15.75" customHeight="1" x14ac:dyDescent="0.3">
      <c r="A106" s="397"/>
      <c r="B106" s="398"/>
      <c r="C106" s="399"/>
      <c r="D106" s="399"/>
      <c r="E106" s="399"/>
      <c r="F106" s="399"/>
      <c r="G106" s="400"/>
      <c r="H106" s="400"/>
      <c r="I106" s="400"/>
      <c r="J106" s="406" t="str">
        <f>IF(OR(ISBLANK(Tabla1[[#This Row],[M3 '[g'] PESO CRISOL+MUESTRA (SECA)]]),ISBLANK(Tabla1[[#This Row],[M1 '[g']]]),ISBLANK(Tabla1[[#This Row],[M4 '[g']  PESO CRISOL + CENIZAS]]),ISBLANK(Tabla1[[#This Row],[M5]])),"",Tabla1[[#This Row],[M3 '[g'] PESO CRISOL+MUESTRA (SECA)]]-Tabla1[[#This Row],[M1 '[g']]]-Tabla1[[#This Row],[M4 '[g']  PESO CRISOL + CENIZAS]]-Tabla1[[#This Row],[M5]])</f>
        <v/>
      </c>
      <c r="K106" s="407" t="str">
        <f>IF(OR(ISBLANK(Tabla1[[#This Row],[M3 '[g'] PESO CRISOL+MUESTRA (SECA)]]),ISBLANK(Tabla1[[#This Row],[M1 '[g']]]),ISBLANK(Tabla1[[#This Row],[M4 '[g']  PESO CRISOL + CENIZAS]])),"",Tabla1[[#This Row],[M3 '[g'] PESO CRISOL+MUESTRA (SECA)]]-Tabla1[[#This Row],[M1 '[g']]]-Tabla1[[#This Row],[M4 '[g']  PESO CRISOL + CENIZAS]])</f>
        <v/>
      </c>
      <c r="L106" s="407" t="str">
        <f>IF(ISNUMBER(Tabla1[[#This Row],[%FIBRA TOTAL]]),Tabla1[[#This Row],[%FIBRA TOTAL]]*(100-Tabla1[[#This Row],[%Grasa y/o % humedad En la Muestra g/100g]])/100,"")</f>
        <v/>
      </c>
      <c r="M106" s="393"/>
      <c r="N106" s="399"/>
      <c r="O106" s="411"/>
      <c r="P106" s="412"/>
      <c r="Q106" s="413"/>
      <c r="R106" s="413"/>
    </row>
    <row r="107" spans="1:18" ht="15.75" customHeight="1" x14ac:dyDescent="0.3">
      <c r="A107" s="397"/>
      <c r="B107" s="398"/>
      <c r="C107" s="399"/>
      <c r="D107" s="399"/>
      <c r="E107" s="399"/>
      <c r="F107" s="399"/>
      <c r="G107" s="400"/>
      <c r="H107" s="400"/>
      <c r="I107" s="400"/>
      <c r="J107" s="406" t="str">
        <f>IF(OR(ISBLANK(Tabla1[[#This Row],[M3 '[g'] PESO CRISOL+MUESTRA (SECA)]]),ISBLANK(Tabla1[[#This Row],[M1 '[g']]]),ISBLANK(Tabla1[[#This Row],[M4 '[g']  PESO CRISOL + CENIZAS]]),ISBLANK(Tabla1[[#This Row],[M5]])),"",Tabla1[[#This Row],[M3 '[g'] PESO CRISOL+MUESTRA (SECA)]]-Tabla1[[#This Row],[M1 '[g']]]-Tabla1[[#This Row],[M4 '[g']  PESO CRISOL + CENIZAS]]-Tabla1[[#This Row],[M5]])</f>
        <v/>
      </c>
      <c r="K107" s="407" t="str">
        <f>IF(OR(ISBLANK(Tabla1[[#This Row],[M3 '[g'] PESO CRISOL+MUESTRA (SECA)]]),ISBLANK(Tabla1[[#This Row],[M1 '[g']]]),ISBLANK(Tabla1[[#This Row],[M4 '[g']  PESO CRISOL + CENIZAS]])),"",Tabla1[[#This Row],[M3 '[g'] PESO CRISOL+MUESTRA (SECA)]]-Tabla1[[#This Row],[M1 '[g']]]-Tabla1[[#This Row],[M4 '[g']  PESO CRISOL + CENIZAS]])</f>
        <v/>
      </c>
      <c r="L107" s="407" t="str">
        <f>IF(ISNUMBER(Tabla1[[#This Row],[%FIBRA TOTAL]]),Tabla1[[#This Row],[%FIBRA TOTAL]]*(100-Tabla1[[#This Row],[%Grasa y/o % humedad En la Muestra g/100g]])/100,"")</f>
        <v/>
      </c>
      <c r="M107" s="393"/>
      <c r="N107" s="399"/>
      <c r="O107" s="411"/>
      <c r="P107" s="412"/>
      <c r="Q107" s="413"/>
      <c r="R107" s="413"/>
    </row>
    <row r="108" spans="1:18" ht="15.75" customHeight="1" x14ac:dyDescent="0.3">
      <c r="A108" s="397"/>
      <c r="B108" s="398"/>
      <c r="C108" s="399"/>
      <c r="D108" s="399"/>
      <c r="E108" s="399"/>
      <c r="F108" s="399"/>
      <c r="G108" s="400"/>
      <c r="H108" s="400"/>
      <c r="I108" s="400"/>
      <c r="J108" s="406" t="str">
        <f>IF(OR(ISBLANK(Tabla1[[#This Row],[M3 '[g'] PESO CRISOL+MUESTRA (SECA)]]),ISBLANK(Tabla1[[#This Row],[M1 '[g']]]),ISBLANK(Tabla1[[#This Row],[M4 '[g']  PESO CRISOL + CENIZAS]]),ISBLANK(Tabla1[[#This Row],[M5]])),"",Tabla1[[#This Row],[M3 '[g'] PESO CRISOL+MUESTRA (SECA)]]-Tabla1[[#This Row],[M1 '[g']]]-Tabla1[[#This Row],[M4 '[g']  PESO CRISOL + CENIZAS]]-Tabla1[[#This Row],[M5]])</f>
        <v/>
      </c>
      <c r="K108" s="407" t="str">
        <f>IF(OR(ISBLANK(Tabla1[[#This Row],[M3 '[g'] PESO CRISOL+MUESTRA (SECA)]]),ISBLANK(Tabla1[[#This Row],[M1 '[g']]]),ISBLANK(Tabla1[[#This Row],[M4 '[g']  PESO CRISOL + CENIZAS]])),"",Tabla1[[#This Row],[M3 '[g'] PESO CRISOL+MUESTRA (SECA)]]-Tabla1[[#This Row],[M1 '[g']]]-Tabla1[[#This Row],[M4 '[g']  PESO CRISOL + CENIZAS]])</f>
        <v/>
      </c>
      <c r="L108" s="407" t="str">
        <f>IF(ISNUMBER(Tabla1[[#This Row],[%FIBRA TOTAL]]),Tabla1[[#This Row],[%FIBRA TOTAL]]*(100-Tabla1[[#This Row],[%Grasa y/o % humedad En la Muestra g/100g]])/100,"")</f>
        <v/>
      </c>
      <c r="M108" s="393"/>
      <c r="N108" s="399"/>
      <c r="O108" s="411"/>
      <c r="P108" s="412"/>
      <c r="Q108" s="413"/>
      <c r="R108" s="413"/>
    </row>
    <row r="109" spans="1:18" ht="15.75" customHeight="1" x14ac:dyDescent="0.3">
      <c r="A109" s="397"/>
      <c r="B109" s="398"/>
      <c r="C109" s="399"/>
      <c r="D109" s="399"/>
      <c r="E109" s="399"/>
      <c r="F109" s="399"/>
      <c r="G109" s="400"/>
      <c r="H109" s="400"/>
      <c r="I109" s="400"/>
      <c r="J109" s="406" t="str">
        <f>IF(OR(ISBLANK(Tabla1[[#This Row],[M3 '[g'] PESO CRISOL+MUESTRA (SECA)]]),ISBLANK(Tabla1[[#This Row],[M1 '[g']]]),ISBLANK(Tabla1[[#This Row],[M4 '[g']  PESO CRISOL + CENIZAS]]),ISBLANK(Tabla1[[#This Row],[M5]])),"",Tabla1[[#This Row],[M3 '[g'] PESO CRISOL+MUESTRA (SECA)]]-Tabla1[[#This Row],[M1 '[g']]]-Tabla1[[#This Row],[M4 '[g']  PESO CRISOL + CENIZAS]]-Tabla1[[#This Row],[M5]])</f>
        <v/>
      </c>
      <c r="K109" s="407" t="str">
        <f>IF(OR(ISBLANK(Tabla1[[#This Row],[M3 '[g'] PESO CRISOL+MUESTRA (SECA)]]),ISBLANK(Tabla1[[#This Row],[M1 '[g']]]),ISBLANK(Tabla1[[#This Row],[M4 '[g']  PESO CRISOL + CENIZAS]])),"",Tabla1[[#This Row],[M3 '[g'] PESO CRISOL+MUESTRA (SECA)]]-Tabla1[[#This Row],[M1 '[g']]]-Tabla1[[#This Row],[M4 '[g']  PESO CRISOL + CENIZAS]])</f>
        <v/>
      </c>
      <c r="L109" s="407" t="str">
        <f>IF(ISNUMBER(Tabla1[[#This Row],[%FIBRA TOTAL]]),Tabla1[[#This Row],[%FIBRA TOTAL]]*(100-Tabla1[[#This Row],[%Grasa y/o % humedad En la Muestra g/100g]])/100,"")</f>
        <v/>
      </c>
      <c r="M109" s="393"/>
      <c r="N109" s="399"/>
      <c r="O109" s="411"/>
      <c r="P109" s="412"/>
      <c r="Q109" s="413"/>
      <c r="R109" s="413"/>
    </row>
    <row r="110" spans="1:18" ht="15.75" customHeight="1" x14ac:dyDescent="0.3">
      <c r="A110" s="397"/>
      <c r="B110" s="398"/>
      <c r="C110" s="399"/>
      <c r="D110" s="399"/>
      <c r="E110" s="399"/>
      <c r="F110" s="399"/>
      <c r="G110" s="400"/>
      <c r="H110" s="400"/>
      <c r="I110" s="400"/>
      <c r="J110" s="406" t="str">
        <f>IF(OR(ISBLANK(Tabla1[[#This Row],[M3 '[g'] PESO CRISOL+MUESTRA (SECA)]]),ISBLANK(Tabla1[[#This Row],[M1 '[g']]]),ISBLANK(Tabla1[[#This Row],[M4 '[g']  PESO CRISOL + CENIZAS]]),ISBLANK(Tabla1[[#This Row],[M5]])),"",Tabla1[[#This Row],[M3 '[g'] PESO CRISOL+MUESTRA (SECA)]]-Tabla1[[#This Row],[M1 '[g']]]-Tabla1[[#This Row],[M4 '[g']  PESO CRISOL + CENIZAS]]-Tabla1[[#This Row],[M5]])</f>
        <v/>
      </c>
      <c r="K110" s="407" t="str">
        <f>IF(OR(ISBLANK(Tabla1[[#This Row],[M3 '[g'] PESO CRISOL+MUESTRA (SECA)]]),ISBLANK(Tabla1[[#This Row],[M1 '[g']]]),ISBLANK(Tabla1[[#This Row],[M4 '[g']  PESO CRISOL + CENIZAS]])),"",Tabla1[[#This Row],[M3 '[g'] PESO CRISOL+MUESTRA (SECA)]]-Tabla1[[#This Row],[M1 '[g']]]-Tabla1[[#This Row],[M4 '[g']  PESO CRISOL + CENIZAS]])</f>
        <v/>
      </c>
      <c r="L110" s="407" t="str">
        <f>IF(ISNUMBER(Tabla1[[#This Row],[%FIBRA TOTAL]]),Tabla1[[#This Row],[%FIBRA TOTAL]]*(100-Tabla1[[#This Row],[%Grasa y/o % humedad En la Muestra g/100g]])/100,"")</f>
        <v/>
      </c>
      <c r="M110" s="393"/>
      <c r="N110" s="399"/>
      <c r="O110" s="411"/>
      <c r="P110" s="412"/>
      <c r="Q110" s="413"/>
      <c r="R110" s="413"/>
    </row>
    <row r="111" spans="1:18" ht="15.75" customHeight="1" x14ac:dyDescent="0.3">
      <c r="A111" s="397"/>
      <c r="B111" s="398"/>
      <c r="C111" s="399"/>
      <c r="D111" s="399"/>
      <c r="E111" s="399"/>
      <c r="F111" s="399"/>
      <c r="G111" s="400"/>
      <c r="H111" s="400"/>
      <c r="I111" s="400"/>
      <c r="J111" s="406" t="str">
        <f>IF(OR(ISBLANK(Tabla1[[#This Row],[M3 '[g'] PESO CRISOL+MUESTRA (SECA)]]),ISBLANK(Tabla1[[#This Row],[M1 '[g']]]),ISBLANK(Tabla1[[#This Row],[M4 '[g']  PESO CRISOL + CENIZAS]]),ISBLANK(Tabla1[[#This Row],[M5]])),"",Tabla1[[#This Row],[M3 '[g'] PESO CRISOL+MUESTRA (SECA)]]-Tabla1[[#This Row],[M1 '[g']]]-Tabla1[[#This Row],[M4 '[g']  PESO CRISOL + CENIZAS]]-Tabla1[[#This Row],[M5]])</f>
        <v/>
      </c>
      <c r="K111" s="407" t="str">
        <f>IF(OR(ISBLANK(Tabla1[[#This Row],[M3 '[g'] PESO CRISOL+MUESTRA (SECA)]]),ISBLANK(Tabla1[[#This Row],[M1 '[g']]]),ISBLANK(Tabla1[[#This Row],[M4 '[g']  PESO CRISOL + CENIZAS]])),"",Tabla1[[#This Row],[M3 '[g'] PESO CRISOL+MUESTRA (SECA)]]-Tabla1[[#This Row],[M1 '[g']]]-Tabla1[[#This Row],[M4 '[g']  PESO CRISOL + CENIZAS]])</f>
        <v/>
      </c>
      <c r="L111" s="407" t="str">
        <f>IF(ISNUMBER(Tabla1[[#This Row],[%FIBRA TOTAL]]),Tabla1[[#This Row],[%FIBRA TOTAL]]*(100-Tabla1[[#This Row],[%Grasa y/o % humedad En la Muestra g/100g]])/100,"")</f>
        <v/>
      </c>
      <c r="M111" s="393"/>
      <c r="N111" s="399"/>
      <c r="O111" s="411"/>
      <c r="P111" s="412"/>
      <c r="Q111" s="413"/>
      <c r="R111" s="413"/>
    </row>
    <row r="112" spans="1:18" ht="15.75" customHeight="1" x14ac:dyDescent="0.3">
      <c r="A112" s="397"/>
      <c r="B112" s="398"/>
      <c r="C112" s="399"/>
      <c r="D112" s="399"/>
      <c r="E112" s="399"/>
      <c r="F112" s="399"/>
      <c r="G112" s="400"/>
      <c r="H112" s="400"/>
      <c r="I112" s="400"/>
      <c r="J112" s="406" t="str">
        <f>IF(OR(ISBLANK(Tabla1[[#This Row],[M3 '[g'] PESO CRISOL+MUESTRA (SECA)]]),ISBLANK(Tabla1[[#This Row],[M1 '[g']]]),ISBLANK(Tabla1[[#This Row],[M4 '[g']  PESO CRISOL + CENIZAS]]),ISBLANK(Tabla1[[#This Row],[M5]])),"",Tabla1[[#This Row],[M3 '[g'] PESO CRISOL+MUESTRA (SECA)]]-Tabla1[[#This Row],[M1 '[g']]]-Tabla1[[#This Row],[M4 '[g']  PESO CRISOL + CENIZAS]]-Tabla1[[#This Row],[M5]])</f>
        <v/>
      </c>
      <c r="K112" s="407" t="str">
        <f>IF(OR(ISBLANK(Tabla1[[#This Row],[M3 '[g'] PESO CRISOL+MUESTRA (SECA)]]),ISBLANK(Tabla1[[#This Row],[M1 '[g']]]),ISBLANK(Tabla1[[#This Row],[M4 '[g']  PESO CRISOL + CENIZAS]])),"",Tabla1[[#This Row],[M3 '[g'] PESO CRISOL+MUESTRA (SECA)]]-Tabla1[[#This Row],[M1 '[g']]]-Tabla1[[#This Row],[M4 '[g']  PESO CRISOL + CENIZAS]])</f>
        <v/>
      </c>
      <c r="L112" s="407" t="str">
        <f>IF(ISNUMBER(Tabla1[[#This Row],[%FIBRA TOTAL]]),Tabla1[[#This Row],[%FIBRA TOTAL]]*(100-Tabla1[[#This Row],[%Grasa y/o % humedad En la Muestra g/100g]])/100,"")</f>
        <v/>
      </c>
      <c r="M112" s="393"/>
      <c r="N112" s="399"/>
      <c r="O112" s="411"/>
      <c r="P112" s="412"/>
      <c r="Q112" s="413"/>
      <c r="R112" s="413"/>
    </row>
    <row r="113" spans="1:18" ht="15.75" customHeight="1" x14ac:dyDescent="0.3">
      <c r="A113" s="397"/>
      <c r="B113" s="398"/>
      <c r="C113" s="399"/>
      <c r="D113" s="399"/>
      <c r="E113" s="399"/>
      <c r="F113" s="399"/>
      <c r="G113" s="400"/>
      <c r="H113" s="400"/>
      <c r="I113" s="400"/>
      <c r="J113" s="406" t="str">
        <f>IF(OR(ISBLANK(Tabla1[[#This Row],[M3 '[g'] PESO CRISOL+MUESTRA (SECA)]]),ISBLANK(Tabla1[[#This Row],[M1 '[g']]]),ISBLANK(Tabla1[[#This Row],[M4 '[g']  PESO CRISOL + CENIZAS]]),ISBLANK(Tabla1[[#This Row],[M5]])),"",Tabla1[[#This Row],[M3 '[g'] PESO CRISOL+MUESTRA (SECA)]]-Tabla1[[#This Row],[M1 '[g']]]-Tabla1[[#This Row],[M4 '[g']  PESO CRISOL + CENIZAS]]-Tabla1[[#This Row],[M5]])</f>
        <v/>
      </c>
      <c r="K113" s="407" t="str">
        <f>IF(OR(ISBLANK(Tabla1[[#This Row],[M3 '[g'] PESO CRISOL+MUESTRA (SECA)]]),ISBLANK(Tabla1[[#This Row],[M1 '[g']]]),ISBLANK(Tabla1[[#This Row],[M4 '[g']  PESO CRISOL + CENIZAS]])),"",Tabla1[[#This Row],[M3 '[g'] PESO CRISOL+MUESTRA (SECA)]]-Tabla1[[#This Row],[M1 '[g']]]-Tabla1[[#This Row],[M4 '[g']  PESO CRISOL + CENIZAS]])</f>
        <v/>
      </c>
      <c r="L113" s="407" t="str">
        <f>IF(ISNUMBER(Tabla1[[#This Row],[%FIBRA TOTAL]]),Tabla1[[#This Row],[%FIBRA TOTAL]]*(100-Tabla1[[#This Row],[%Grasa y/o % humedad En la Muestra g/100g]])/100,"")</f>
        <v/>
      </c>
      <c r="M113" s="393"/>
      <c r="N113" s="399"/>
      <c r="O113" s="411"/>
      <c r="P113" s="412"/>
      <c r="Q113" s="413"/>
      <c r="R113" s="413"/>
    </row>
    <row r="114" spans="1:18" ht="15.75" customHeight="1" x14ac:dyDescent="0.3">
      <c r="A114" s="397"/>
      <c r="B114" s="398"/>
      <c r="C114" s="399"/>
      <c r="D114" s="399"/>
      <c r="E114" s="399"/>
      <c r="F114" s="399"/>
      <c r="G114" s="400"/>
      <c r="H114" s="400"/>
      <c r="I114" s="400"/>
      <c r="J114" s="406" t="str">
        <f>IF(OR(ISBLANK(Tabla1[[#This Row],[M3 '[g'] PESO CRISOL+MUESTRA (SECA)]]),ISBLANK(Tabla1[[#This Row],[M1 '[g']]]),ISBLANK(Tabla1[[#This Row],[M4 '[g']  PESO CRISOL + CENIZAS]]),ISBLANK(Tabla1[[#This Row],[M5]])),"",Tabla1[[#This Row],[M3 '[g'] PESO CRISOL+MUESTRA (SECA)]]-Tabla1[[#This Row],[M1 '[g']]]-Tabla1[[#This Row],[M4 '[g']  PESO CRISOL + CENIZAS]]-Tabla1[[#This Row],[M5]])</f>
        <v/>
      </c>
      <c r="K114" s="407" t="str">
        <f>IF(OR(ISBLANK(Tabla1[[#This Row],[M3 '[g'] PESO CRISOL+MUESTRA (SECA)]]),ISBLANK(Tabla1[[#This Row],[M1 '[g']]]),ISBLANK(Tabla1[[#This Row],[M4 '[g']  PESO CRISOL + CENIZAS]])),"",Tabla1[[#This Row],[M3 '[g'] PESO CRISOL+MUESTRA (SECA)]]-Tabla1[[#This Row],[M1 '[g']]]-Tabla1[[#This Row],[M4 '[g']  PESO CRISOL + CENIZAS]])</f>
        <v/>
      </c>
      <c r="L114" s="407" t="str">
        <f>IF(ISNUMBER(Tabla1[[#This Row],[%FIBRA TOTAL]]),Tabla1[[#This Row],[%FIBRA TOTAL]]*(100-Tabla1[[#This Row],[%Grasa y/o % humedad En la Muestra g/100g]])/100,"")</f>
        <v/>
      </c>
      <c r="M114" s="393"/>
      <c r="N114" s="399"/>
      <c r="O114" s="411"/>
      <c r="P114" s="412"/>
      <c r="Q114" s="413"/>
      <c r="R114" s="413"/>
    </row>
    <row r="115" spans="1:18" ht="15.75" customHeight="1" x14ac:dyDescent="0.3">
      <c r="A115" s="397"/>
      <c r="B115" s="398"/>
      <c r="C115" s="399"/>
      <c r="D115" s="399"/>
      <c r="E115" s="399"/>
      <c r="F115" s="399"/>
      <c r="G115" s="400"/>
      <c r="H115" s="400"/>
      <c r="I115" s="400"/>
      <c r="J115" s="406" t="str">
        <f>IF(OR(ISBLANK(Tabla1[[#This Row],[M3 '[g'] PESO CRISOL+MUESTRA (SECA)]]),ISBLANK(Tabla1[[#This Row],[M1 '[g']]]),ISBLANK(Tabla1[[#This Row],[M4 '[g']  PESO CRISOL + CENIZAS]]),ISBLANK(Tabla1[[#This Row],[M5]])),"",Tabla1[[#This Row],[M3 '[g'] PESO CRISOL+MUESTRA (SECA)]]-Tabla1[[#This Row],[M1 '[g']]]-Tabla1[[#This Row],[M4 '[g']  PESO CRISOL + CENIZAS]]-Tabla1[[#This Row],[M5]])</f>
        <v/>
      </c>
      <c r="K115" s="407" t="str">
        <f>IF(OR(ISBLANK(Tabla1[[#This Row],[M3 '[g'] PESO CRISOL+MUESTRA (SECA)]]),ISBLANK(Tabla1[[#This Row],[M1 '[g']]]),ISBLANK(Tabla1[[#This Row],[M4 '[g']  PESO CRISOL + CENIZAS]])),"",Tabla1[[#This Row],[M3 '[g'] PESO CRISOL+MUESTRA (SECA)]]-Tabla1[[#This Row],[M1 '[g']]]-Tabla1[[#This Row],[M4 '[g']  PESO CRISOL + CENIZAS]])</f>
        <v/>
      </c>
      <c r="L115" s="407" t="str">
        <f>IF(ISNUMBER(Tabla1[[#This Row],[%FIBRA TOTAL]]),Tabla1[[#This Row],[%FIBRA TOTAL]]*(100-Tabla1[[#This Row],[%Grasa y/o % humedad En la Muestra g/100g]])/100,"")</f>
        <v/>
      </c>
      <c r="M115" s="393"/>
      <c r="N115" s="399"/>
      <c r="O115" s="411"/>
      <c r="P115" s="412"/>
      <c r="Q115" s="413"/>
      <c r="R115" s="413"/>
    </row>
    <row r="116" spans="1:18" ht="15.75" customHeight="1" x14ac:dyDescent="0.3">
      <c r="A116" s="397"/>
      <c r="B116" s="398"/>
      <c r="C116" s="399"/>
      <c r="D116" s="399"/>
      <c r="E116" s="399"/>
      <c r="F116" s="399"/>
      <c r="G116" s="400"/>
      <c r="H116" s="400"/>
      <c r="I116" s="400"/>
      <c r="J116" s="406" t="str">
        <f>IF(OR(ISBLANK(Tabla1[[#This Row],[M3 '[g'] PESO CRISOL+MUESTRA (SECA)]]),ISBLANK(Tabla1[[#This Row],[M1 '[g']]]),ISBLANK(Tabla1[[#This Row],[M4 '[g']  PESO CRISOL + CENIZAS]]),ISBLANK(Tabla1[[#This Row],[M5]])),"",Tabla1[[#This Row],[M3 '[g'] PESO CRISOL+MUESTRA (SECA)]]-Tabla1[[#This Row],[M1 '[g']]]-Tabla1[[#This Row],[M4 '[g']  PESO CRISOL + CENIZAS]]-Tabla1[[#This Row],[M5]])</f>
        <v/>
      </c>
      <c r="K116" s="407" t="str">
        <f>IF(OR(ISBLANK(Tabla1[[#This Row],[M3 '[g'] PESO CRISOL+MUESTRA (SECA)]]),ISBLANK(Tabla1[[#This Row],[M1 '[g']]]),ISBLANK(Tabla1[[#This Row],[M4 '[g']  PESO CRISOL + CENIZAS]])),"",Tabla1[[#This Row],[M3 '[g'] PESO CRISOL+MUESTRA (SECA)]]-Tabla1[[#This Row],[M1 '[g']]]-Tabla1[[#This Row],[M4 '[g']  PESO CRISOL + CENIZAS]])</f>
        <v/>
      </c>
      <c r="L116" s="407" t="str">
        <f>IF(ISNUMBER(Tabla1[[#This Row],[%FIBRA TOTAL]]),Tabla1[[#This Row],[%FIBRA TOTAL]]*(100-Tabla1[[#This Row],[%Grasa y/o % humedad En la Muestra g/100g]])/100,"")</f>
        <v/>
      </c>
      <c r="M116" s="393"/>
      <c r="N116" s="399"/>
      <c r="O116" s="411"/>
      <c r="P116" s="412"/>
      <c r="Q116" s="413"/>
      <c r="R116" s="413"/>
    </row>
    <row r="117" spans="1:18" ht="15.75" customHeight="1" x14ac:dyDescent="0.3">
      <c r="A117" s="397"/>
      <c r="B117" s="398"/>
      <c r="C117" s="399"/>
      <c r="D117" s="399"/>
      <c r="E117" s="399"/>
      <c r="F117" s="399"/>
      <c r="G117" s="400"/>
      <c r="H117" s="400"/>
      <c r="I117" s="400"/>
      <c r="J117" s="406" t="str">
        <f>IF(OR(ISBLANK(Tabla1[[#This Row],[M3 '[g'] PESO CRISOL+MUESTRA (SECA)]]),ISBLANK(Tabla1[[#This Row],[M1 '[g']]]),ISBLANK(Tabla1[[#This Row],[M4 '[g']  PESO CRISOL + CENIZAS]]),ISBLANK(Tabla1[[#This Row],[M5]])),"",Tabla1[[#This Row],[M3 '[g'] PESO CRISOL+MUESTRA (SECA)]]-Tabla1[[#This Row],[M1 '[g']]]-Tabla1[[#This Row],[M4 '[g']  PESO CRISOL + CENIZAS]]-Tabla1[[#This Row],[M5]])</f>
        <v/>
      </c>
      <c r="K117" s="407" t="str">
        <f>IF(OR(ISBLANK(Tabla1[[#This Row],[M3 '[g'] PESO CRISOL+MUESTRA (SECA)]]),ISBLANK(Tabla1[[#This Row],[M1 '[g']]]),ISBLANK(Tabla1[[#This Row],[M4 '[g']  PESO CRISOL + CENIZAS]])),"",Tabla1[[#This Row],[M3 '[g'] PESO CRISOL+MUESTRA (SECA)]]-Tabla1[[#This Row],[M1 '[g']]]-Tabla1[[#This Row],[M4 '[g']  PESO CRISOL + CENIZAS]])</f>
        <v/>
      </c>
      <c r="L117" s="407" t="str">
        <f>IF(ISNUMBER(Tabla1[[#This Row],[%FIBRA TOTAL]]),Tabla1[[#This Row],[%FIBRA TOTAL]]*(100-Tabla1[[#This Row],[%Grasa y/o % humedad En la Muestra g/100g]])/100,"")</f>
        <v/>
      </c>
      <c r="M117" s="393"/>
      <c r="N117" s="399"/>
      <c r="O117" s="411"/>
      <c r="P117" s="412"/>
      <c r="Q117" s="413"/>
      <c r="R117" s="413"/>
    </row>
    <row r="118" spans="1:18" ht="15.75" customHeight="1" x14ac:dyDescent="0.3">
      <c r="A118" s="397"/>
      <c r="B118" s="398"/>
      <c r="C118" s="399"/>
      <c r="D118" s="399"/>
      <c r="E118" s="399"/>
      <c r="F118" s="399"/>
      <c r="G118" s="400"/>
      <c r="H118" s="400"/>
      <c r="I118" s="400"/>
      <c r="J118" s="406" t="str">
        <f>IF(OR(ISBLANK(Tabla1[[#This Row],[M3 '[g'] PESO CRISOL+MUESTRA (SECA)]]),ISBLANK(Tabla1[[#This Row],[M1 '[g']]]),ISBLANK(Tabla1[[#This Row],[M4 '[g']  PESO CRISOL + CENIZAS]]),ISBLANK(Tabla1[[#This Row],[M5]])),"",Tabla1[[#This Row],[M3 '[g'] PESO CRISOL+MUESTRA (SECA)]]-Tabla1[[#This Row],[M1 '[g']]]-Tabla1[[#This Row],[M4 '[g']  PESO CRISOL + CENIZAS]]-Tabla1[[#This Row],[M5]])</f>
        <v/>
      </c>
      <c r="K118" s="407" t="str">
        <f>IF(OR(ISBLANK(Tabla1[[#This Row],[M3 '[g'] PESO CRISOL+MUESTRA (SECA)]]),ISBLANK(Tabla1[[#This Row],[M1 '[g']]]),ISBLANK(Tabla1[[#This Row],[M4 '[g']  PESO CRISOL + CENIZAS]])),"",Tabla1[[#This Row],[M3 '[g'] PESO CRISOL+MUESTRA (SECA)]]-Tabla1[[#This Row],[M1 '[g']]]-Tabla1[[#This Row],[M4 '[g']  PESO CRISOL + CENIZAS]])</f>
        <v/>
      </c>
      <c r="L118" s="407" t="str">
        <f>IF(ISNUMBER(Tabla1[[#This Row],[%FIBRA TOTAL]]),Tabla1[[#This Row],[%FIBRA TOTAL]]*(100-Tabla1[[#This Row],[%Grasa y/o % humedad En la Muestra g/100g]])/100,"")</f>
        <v/>
      </c>
      <c r="M118" s="393"/>
      <c r="N118" s="399"/>
      <c r="O118" s="411"/>
      <c r="P118" s="412"/>
      <c r="Q118" s="413"/>
      <c r="R118" s="413"/>
    </row>
    <row r="119" spans="1:18" ht="15.75" customHeight="1" x14ac:dyDescent="0.3">
      <c r="A119" s="397"/>
      <c r="B119" s="398"/>
      <c r="C119" s="399"/>
      <c r="D119" s="399"/>
      <c r="E119" s="399"/>
      <c r="F119" s="399"/>
      <c r="G119" s="400"/>
      <c r="H119" s="400"/>
      <c r="I119" s="400"/>
      <c r="J119" s="406" t="str">
        <f>IF(OR(ISBLANK(Tabla1[[#This Row],[M3 '[g'] PESO CRISOL+MUESTRA (SECA)]]),ISBLANK(Tabla1[[#This Row],[M1 '[g']]]),ISBLANK(Tabla1[[#This Row],[M4 '[g']  PESO CRISOL + CENIZAS]]),ISBLANK(Tabla1[[#This Row],[M5]])),"",Tabla1[[#This Row],[M3 '[g'] PESO CRISOL+MUESTRA (SECA)]]-Tabla1[[#This Row],[M1 '[g']]]-Tabla1[[#This Row],[M4 '[g']  PESO CRISOL + CENIZAS]]-Tabla1[[#This Row],[M5]])</f>
        <v/>
      </c>
      <c r="K119" s="407" t="str">
        <f>IF(OR(ISBLANK(Tabla1[[#This Row],[M3 '[g'] PESO CRISOL+MUESTRA (SECA)]]),ISBLANK(Tabla1[[#This Row],[M1 '[g']]]),ISBLANK(Tabla1[[#This Row],[M4 '[g']  PESO CRISOL + CENIZAS]])),"",Tabla1[[#This Row],[M3 '[g'] PESO CRISOL+MUESTRA (SECA)]]-Tabla1[[#This Row],[M1 '[g']]]-Tabla1[[#This Row],[M4 '[g']  PESO CRISOL + CENIZAS]])</f>
        <v/>
      </c>
      <c r="L119" s="407" t="str">
        <f>IF(ISNUMBER(Tabla1[[#This Row],[%FIBRA TOTAL]]),Tabla1[[#This Row],[%FIBRA TOTAL]]*(100-Tabla1[[#This Row],[%Grasa y/o % humedad En la Muestra g/100g]])/100,"")</f>
        <v/>
      </c>
      <c r="M119" s="393"/>
      <c r="N119" s="399"/>
      <c r="O119" s="411"/>
      <c r="P119" s="412"/>
      <c r="Q119" s="413"/>
      <c r="R119" s="413"/>
    </row>
    <row r="120" spans="1:18" ht="15.75" customHeight="1" x14ac:dyDescent="0.3">
      <c r="A120" s="397"/>
      <c r="B120" s="398"/>
      <c r="C120" s="399"/>
      <c r="D120" s="399"/>
      <c r="E120" s="399"/>
      <c r="F120" s="399"/>
      <c r="G120" s="400"/>
      <c r="H120" s="400"/>
      <c r="I120" s="400"/>
      <c r="J120" s="406" t="str">
        <f>IF(OR(ISBLANK(Tabla1[[#This Row],[M3 '[g'] PESO CRISOL+MUESTRA (SECA)]]),ISBLANK(Tabla1[[#This Row],[M1 '[g']]]),ISBLANK(Tabla1[[#This Row],[M4 '[g']  PESO CRISOL + CENIZAS]]),ISBLANK(Tabla1[[#This Row],[M5]])),"",Tabla1[[#This Row],[M3 '[g'] PESO CRISOL+MUESTRA (SECA)]]-Tabla1[[#This Row],[M1 '[g']]]-Tabla1[[#This Row],[M4 '[g']  PESO CRISOL + CENIZAS]]-Tabla1[[#This Row],[M5]])</f>
        <v/>
      </c>
      <c r="K120" s="407" t="str">
        <f>IF(OR(ISBLANK(Tabla1[[#This Row],[M3 '[g'] PESO CRISOL+MUESTRA (SECA)]]),ISBLANK(Tabla1[[#This Row],[M1 '[g']]]),ISBLANK(Tabla1[[#This Row],[M4 '[g']  PESO CRISOL + CENIZAS]])),"",Tabla1[[#This Row],[M3 '[g'] PESO CRISOL+MUESTRA (SECA)]]-Tabla1[[#This Row],[M1 '[g']]]-Tabla1[[#This Row],[M4 '[g']  PESO CRISOL + CENIZAS]])</f>
        <v/>
      </c>
      <c r="L120" s="407" t="str">
        <f>IF(ISNUMBER(Tabla1[[#This Row],[%FIBRA TOTAL]]),Tabla1[[#This Row],[%FIBRA TOTAL]]*(100-Tabla1[[#This Row],[%Grasa y/o % humedad En la Muestra g/100g]])/100,"")</f>
        <v/>
      </c>
      <c r="M120" s="393"/>
      <c r="N120" s="399"/>
      <c r="O120" s="411"/>
      <c r="P120" s="412"/>
      <c r="Q120" s="413"/>
      <c r="R120" s="413"/>
    </row>
    <row r="121" spans="1:18" ht="15.75" customHeight="1" x14ac:dyDescent="0.3">
      <c r="A121" s="397"/>
      <c r="B121" s="398"/>
      <c r="C121" s="399"/>
      <c r="D121" s="399"/>
      <c r="E121" s="399"/>
      <c r="F121" s="399"/>
      <c r="G121" s="400"/>
      <c r="H121" s="400"/>
      <c r="I121" s="400"/>
      <c r="J121" s="406" t="str">
        <f>IF(OR(ISBLANK(Tabla1[[#This Row],[M3 '[g'] PESO CRISOL+MUESTRA (SECA)]]),ISBLANK(Tabla1[[#This Row],[M1 '[g']]]),ISBLANK(Tabla1[[#This Row],[M4 '[g']  PESO CRISOL + CENIZAS]]),ISBLANK(Tabla1[[#This Row],[M5]])),"",Tabla1[[#This Row],[M3 '[g'] PESO CRISOL+MUESTRA (SECA)]]-Tabla1[[#This Row],[M1 '[g']]]-Tabla1[[#This Row],[M4 '[g']  PESO CRISOL + CENIZAS]]-Tabla1[[#This Row],[M5]])</f>
        <v/>
      </c>
      <c r="K121" s="407" t="str">
        <f>IF(OR(ISBLANK(Tabla1[[#This Row],[M3 '[g'] PESO CRISOL+MUESTRA (SECA)]]),ISBLANK(Tabla1[[#This Row],[M1 '[g']]]),ISBLANK(Tabla1[[#This Row],[M4 '[g']  PESO CRISOL + CENIZAS]])),"",Tabla1[[#This Row],[M3 '[g'] PESO CRISOL+MUESTRA (SECA)]]-Tabla1[[#This Row],[M1 '[g']]]-Tabla1[[#This Row],[M4 '[g']  PESO CRISOL + CENIZAS]])</f>
        <v/>
      </c>
      <c r="L121" s="407" t="str">
        <f>IF(ISNUMBER(Tabla1[[#This Row],[%FIBRA TOTAL]]),Tabla1[[#This Row],[%FIBRA TOTAL]]*(100-Tabla1[[#This Row],[%Grasa y/o % humedad En la Muestra g/100g]])/100,"")</f>
        <v/>
      </c>
      <c r="M121" s="393"/>
      <c r="N121" s="399"/>
      <c r="O121" s="411"/>
      <c r="P121" s="412"/>
      <c r="Q121" s="413"/>
      <c r="R121" s="413"/>
    </row>
    <row r="122" spans="1:18" ht="15.75" customHeight="1" x14ac:dyDescent="0.3">
      <c r="A122" s="397"/>
      <c r="B122" s="398"/>
      <c r="C122" s="399"/>
      <c r="D122" s="399"/>
      <c r="E122" s="399"/>
      <c r="F122" s="399"/>
      <c r="G122" s="400"/>
      <c r="H122" s="400"/>
      <c r="I122" s="400"/>
      <c r="J122" s="406" t="str">
        <f>IF(OR(ISBLANK(Tabla1[[#This Row],[M3 '[g'] PESO CRISOL+MUESTRA (SECA)]]),ISBLANK(Tabla1[[#This Row],[M1 '[g']]]),ISBLANK(Tabla1[[#This Row],[M4 '[g']  PESO CRISOL + CENIZAS]]),ISBLANK(Tabla1[[#This Row],[M5]])),"",Tabla1[[#This Row],[M3 '[g'] PESO CRISOL+MUESTRA (SECA)]]-Tabla1[[#This Row],[M1 '[g']]]-Tabla1[[#This Row],[M4 '[g']  PESO CRISOL + CENIZAS]]-Tabla1[[#This Row],[M5]])</f>
        <v/>
      </c>
      <c r="K122" s="407" t="str">
        <f>IF(OR(ISBLANK(Tabla1[[#This Row],[M3 '[g'] PESO CRISOL+MUESTRA (SECA)]]),ISBLANK(Tabla1[[#This Row],[M1 '[g']]]),ISBLANK(Tabla1[[#This Row],[M4 '[g']  PESO CRISOL + CENIZAS]])),"",Tabla1[[#This Row],[M3 '[g'] PESO CRISOL+MUESTRA (SECA)]]-Tabla1[[#This Row],[M1 '[g']]]-Tabla1[[#This Row],[M4 '[g']  PESO CRISOL + CENIZAS]])</f>
        <v/>
      </c>
      <c r="L122" s="407" t="str">
        <f>IF(ISNUMBER(Tabla1[[#This Row],[%FIBRA TOTAL]]),Tabla1[[#This Row],[%FIBRA TOTAL]]*(100-Tabla1[[#This Row],[%Grasa y/o % humedad En la Muestra g/100g]])/100,"")</f>
        <v/>
      </c>
      <c r="M122" s="393"/>
      <c r="N122" s="399"/>
      <c r="O122" s="411"/>
      <c r="P122" s="412"/>
      <c r="Q122" s="413"/>
      <c r="R122" s="413"/>
    </row>
    <row r="123" spans="1:18" ht="15.75" customHeight="1" x14ac:dyDescent="0.3">
      <c r="A123" s="397"/>
      <c r="B123" s="398"/>
      <c r="C123" s="399"/>
      <c r="D123" s="399"/>
      <c r="E123" s="399"/>
      <c r="F123" s="399"/>
      <c r="G123" s="400"/>
      <c r="H123" s="400"/>
      <c r="I123" s="400"/>
      <c r="J123" s="406" t="str">
        <f>IF(OR(ISBLANK(Tabla1[[#This Row],[M3 '[g'] PESO CRISOL+MUESTRA (SECA)]]),ISBLANK(Tabla1[[#This Row],[M1 '[g']]]),ISBLANK(Tabla1[[#This Row],[M4 '[g']  PESO CRISOL + CENIZAS]]),ISBLANK(Tabla1[[#This Row],[M5]])),"",Tabla1[[#This Row],[M3 '[g'] PESO CRISOL+MUESTRA (SECA)]]-Tabla1[[#This Row],[M1 '[g']]]-Tabla1[[#This Row],[M4 '[g']  PESO CRISOL + CENIZAS]]-Tabla1[[#This Row],[M5]])</f>
        <v/>
      </c>
      <c r="K123" s="407" t="str">
        <f>IF(OR(ISBLANK(Tabla1[[#This Row],[M3 '[g'] PESO CRISOL+MUESTRA (SECA)]]),ISBLANK(Tabla1[[#This Row],[M1 '[g']]]),ISBLANK(Tabla1[[#This Row],[M4 '[g']  PESO CRISOL + CENIZAS]])),"",Tabla1[[#This Row],[M3 '[g'] PESO CRISOL+MUESTRA (SECA)]]-Tabla1[[#This Row],[M1 '[g']]]-Tabla1[[#This Row],[M4 '[g']  PESO CRISOL + CENIZAS]])</f>
        <v/>
      </c>
      <c r="L123" s="407" t="str">
        <f>IF(ISNUMBER(Tabla1[[#This Row],[%FIBRA TOTAL]]),Tabla1[[#This Row],[%FIBRA TOTAL]]*(100-Tabla1[[#This Row],[%Grasa y/o % humedad En la Muestra g/100g]])/100,"")</f>
        <v/>
      </c>
      <c r="M123" s="393"/>
      <c r="N123" s="399"/>
      <c r="O123" s="411"/>
      <c r="P123" s="412"/>
      <c r="Q123" s="413"/>
      <c r="R123" s="413"/>
    </row>
    <row r="124" spans="1:18" ht="15.75" customHeight="1" x14ac:dyDescent="0.3">
      <c r="A124" s="397"/>
      <c r="B124" s="398"/>
      <c r="C124" s="399"/>
      <c r="D124" s="399"/>
      <c r="E124" s="399"/>
      <c r="F124" s="399"/>
      <c r="G124" s="400"/>
      <c r="H124" s="400"/>
      <c r="I124" s="400"/>
      <c r="J124" s="406" t="str">
        <f>IF(OR(ISBLANK(Tabla1[[#This Row],[M3 '[g'] PESO CRISOL+MUESTRA (SECA)]]),ISBLANK(Tabla1[[#This Row],[M1 '[g']]]),ISBLANK(Tabla1[[#This Row],[M4 '[g']  PESO CRISOL + CENIZAS]]),ISBLANK(Tabla1[[#This Row],[M5]])),"",Tabla1[[#This Row],[M3 '[g'] PESO CRISOL+MUESTRA (SECA)]]-Tabla1[[#This Row],[M1 '[g']]]-Tabla1[[#This Row],[M4 '[g']  PESO CRISOL + CENIZAS]]-Tabla1[[#This Row],[M5]])</f>
        <v/>
      </c>
      <c r="K124" s="407" t="str">
        <f>IF(OR(ISBLANK(Tabla1[[#This Row],[M3 '[g'] PESO CRISOL+MUESTRA (SECA)]]),ISBLANK(Tabla1[[#This Row],[M1 '[g']]]),ISBLANK(Tabla1[[#This Row],[M4 '[g']  PESO CRISOL + CENIZAS]])),"",Tabla1[[#This Row],[M3 '[g'] PESO CRISOL+MUESTRA (SECA)]]-Tabla1[[#This Row],[M1 '[g']]]-Tabla1[[#This Row],[M4 '[g']  PESO CRISOL + CENIZAS]])</f>
        <v/>
      </c>
      <c r="L124" s="407" t="str">
        <f>IF(ISNUMBER(Tabla1[[#This Row],[%FIBRA TOTAL]]),Tabla1[[#This Row],[%FIBRA TOTAL]]*(100-Tabla1[[#This Row],[%Grasa y/o % humedad En la Muestra g/100g]])/100,"")</f>
        <v/>
      </c>
      <c r="M124" s="393"/>
      <c r="N124" s="399"/>
      <c r="O124" s="411"/>
      <c r="P124" s="412"/>
      <c r="Q124" s="413"/>
      <c r="R124" s="413"/>
    </row>
    <row r="125" spans="1:18" ht="15.75" customHeight="1" x14ac:dyDescent="0.3">
      <c r="A125" s="397"/>
      <c r="B125" s="398"/>
      <c r="C125" s="399"/>
      <c r="D125" s="399"/>
      <c r="E125" s="399"/>
      <c r="F125" s="399"/>
      <c r="G125" s="400"/>
      <c r="H125" s="400"/>
      <c r="I125" s="400"/>
      <c r="J125" s="406" t="str">
        <f>IF(OR(ISBLANK(Tabla1[[#This Row],[M3 '[g'] PESO CRISOL+MUESTRA (SECA)]]),ISBLANK(Tabla1[[#This Row],[M1 '[g']]]),ISBLANK(Tabla1[[#This Row],[M4 '[g']  PESO CRISOL + CENIZAS]]),ISBLANK(Tabla1[[#This Row],[M5]])),"",Tabla1[[#This Row],[M3 '[g'] PESO CRISOL+MUESTRA (SECA)]]-Tabla1[[#This Row],[M1 '[g']]]-Tabla1[[#This Row],[M4 '[g']  PESO CRISOL + CENIZAS]]-Tabla1[[#This Row],[M5]])</f>
        <v/>
      </c>
      <c r="K125" s="407" t="str">
        <f>IF(OR(ISBLANK(Tabla1[[#This Row],[M3 '[g'] PESO CRISOL+MUESTRA (SECA)]]),ISBLANK(Tabla1[[#This Row],[M1 '[g']]]),ISBLANK(Tabla1[[#This Row],[M4 '[g']  PESO CRISOL + CENIZAS]])),"",Tabla1[[#This Row],[M3 '[g'] PESO CRISOL+MUESTRA (SECA)]]-Tabla1[[#This Row],[M1 '[g']]]-Tabla1[[#This Row],[M4 '[g']  PESO CRISOL + CENIZAS]])</f>
        <v/>
      </c>
      <c r="L125" s="407" t="str">
        <f>IF(ISNUMBER(Tabla1[[#This Row],[%FIBRA TOTAL]]),Tabla1[[#This Row],[%FIBRA TOTAL]]*(100-Tabla1[[#This Row],[%Grasa y/o % humedad En la Muestra g/100g]])/100,"")</f>
        <v/>
      </c>
      <c r="M125" s="393"/>
      <c r="N125" s="399"/>
      <c r="O125" s="411"/>
      <c r="P125" s="412"/>
      <c r="Q125" s="413"/>
      <c r="R125" s="413"/>
    </row>
    <row r="126" spans="1:18" ht="15.75" customHeight="1" x14ac:dyDescent="0.3">
      <c r="A126" s="397"/>
      <c r="B126" s="398"/>
      <c r="C126" s="399"/>
      <c r="D126" s="399"/>
      <c r="E126" s="399"/>
      <c r="F126" s="399"/>
      <c r="G126" s="400"/>
      <c r="H126" s="400"/>
      <c r="I126" s="400"/>
      <c r="J126" s="406" t="str">
        <f>IF(OR(ISBLANK(Tabla1[[#This Row],[M3 '[g'] PESO CRISOL+MUESTRA (SECA)]]),ISBLANK(Tabla1[[#This Row],[M1 '[g']]]),ISBLANK(Tabla1[[#This Row],[M4 '[g']  PESO CRISOL + CENIZAS]]),ISBLANK(Tabla1[[#This Row],[M5]])),"",Tabla1[[#This Row],[M3 '[g'] PESO CRISOL+MUESTRA (SECA)]]-Tabla1[[#This Row],[M1 '[g']]]-Tabla1[[#This Row],[M4 '[g']  PESO CRISOL + CENIZAS]]-Tabla1[[#This Row],[M5]])</f>
        <v/>
      </c>
      <c r="K126" s="407" t="str">
        <f>IF(OR(ISBLANK(Tabla1[[#This Row],[M3 '[g'] PESO CRISOL+MUESTRA (SECA)]]),ISBLANK(Tabla1[[#This Row],[M1 '[g']]]),ISBLANK(Tabla1[[#This Row],[M4 '[g']  PESO CRISOL + CENIZAS]])),"",Tabla1[[#This Row],[M3 '[g'] PESO CRISOL+MUESTRA (SECA)]]-Tabla1[[#This Row],[M1 '[g']]]-Tabla1[[#This Row],[M4 '[g']  PESO CRISOL + CENIZAS]])</f>
        <v/>
      </c>
      <c r="L126" s="407" t="str">
        <f>IF(ISNUMBER(Tabla1[[#This Row],[%FIBRA TOTAL]]),Tabla1[[#This Row],[%FIBRA TOTAL]]*(100-Tabla1[[#This Row],[%Grasa y/o % humedad En la Muestra g/100g]])/100,"")</f>
        <v/>
      </c>
      <c r="M126" s="393"/>
      <c r="N126" s="399"/>
      <c r="O126" s="411"/>
      <c r="P126" s="412"/>
      <c r="Q126" s="413"/>
      <c r="R126" s="413"/>
    </row>
    <row r="127" spans="1:18" ht="15.75" customHeight="1" x14ac:dyDescent="0.3">
      <c r="A127" s="397"/>
      <c r="B127" s="398"/>
      <c r="C127" s="399"/>
      <c r="D127" s="399"/>
      <c r="E127" s="399"/>
      <c r="F127" s="399"/>
      <c r="G127" s="400"/>
      <c r="H127" s="400"/>
      <c r="I127" s="400"/>
      <c r="J127" s="406" t="str">
        <f>IF(OR(ISBLANK(Tabla1[[#This Row],[M3 '[g'] PESO CRISOL+MUESTRA (SECA)]]),ISBLANK(Tabla1[[#This Row],[M1 '[g']]]),ISBLANK(Tabla1[[#This Row],[M4 '[g']  PESO CRISOL + CENIZAS]]),ISBLANK(Tabla1[[#This Row],[M5]])),"",Tabla1[[#This Row],[M3 '[g'] PESO CRISOL+MUESTRA (SECA)]]-Tabla1[[#This Row],[M1 '[g']]]-Tabla1[[#This Row],[M4 '[g']  PESO CRISOL + CENIZAS]]-Tabla1[[#This Row],[M5]])</f>
        <v/>
      </c>
      <c r="K127" s="407" t="str">
        <f>IF(OR(ISBLANK(Tabla1[[#This Row],[M3 '[g'] PESO CRISOL+MUESTRA (SECA)]]),ISBLANK(Tabla1[[#This Row],[M1 '[g']]]),ISBLANK(Tabla1[[#This Row],[M4 '[g']  PESO CRISOL + CENIZAS]])),"",Tabla1[[#This Row],[M3 '[g'] PESO CRISOL+MUESTRA (SECA)]]-Tabla1[[#This Row],[M1 '[g']]]-Tabla1[[#This Row],[M4 '[g']  PESO CRISOL + CENIZAS]])</f>
        <v/>
      </c>
      <c r="L127" s="407" t="str">
        <f>IF(ISNUMBER(Tabla1[[#This Row],[%FIBRA TOTAL]]),Tabla1[[#This Row],[%FIBRA TOTAL]]*(100-Tabla1[[#This Row],[%Grasa y/o % humedad En la Muestra g/100g]])/100,"")</f>
        <v/>
      </c>
      <c r="M127" s="393"/>
      <c r="N127" s="399"/>
      <c r="O127" s="411"/>
      <c r="P127" s="412"/>
      <c r="Q127" s="413"/>
      <c r="R127" s="413"/>
    </row>
    <row r="128" spans="1:18" ht="15.75" customHeight="1" x14ac:dyDescent="0.3">
      <c r="A128" s="397"/>
      <c r="B128" s="398"/>
      <c r="C128" s="399"/>
      <c r="D128" s="399"/>
      <c r="E128" s="399"/>
      <c r="F128" s="399"/>
      <c r="G128" s="400"/>
      <c r="H128" s="400"/>
      <c r="I128" s="400"/>
      <c r="J128" s="406" t="str">
        <f>IF(OR(ISBLANK(Tabla1[[#This Row],[M3 '[g'] PESO CRISOL+MUESTRA (SECA)]]),ISBLANK(Tabla1[[#This Row],[M1 '[g']]]),ISBLANK(Tabla1[[#This Row],[M4 '[g']  PESO CRISOL + CENIZAS]]),ISBLANK(Tabla1[[#This Row],[M5]])),"",Tabla1[[#This Row],[M3 '[g'] PESO CRISOL+MUESTRA (SECA)]]-Tabla1[[#This Row],[M1 '[g']]]-Tabla1[[#This Row],[M4 '[g']  PESO CRISOL + CENIZAS]]-Tabla1[[#This Row],[M5]])</f>
        <v/>
      </c>
      <c r="K128" s="407" t="str">
        <f>IF(OR(ISBLANK(Tabla1[[#This Row],[M3 '[g'] PESO CRISOL+MUESTRA (SECA)]]),ISBLANK(Tabla1[[#This Row],[M1 '[g']]]),ISBLANK(Tabla1[[#This Row],[M4 '[g']  PESO CRISOL + CENIZAS]])),"",Tabla1[[#This Row],[M3 '[g'] PESO CRISOL+MUESTRA (SECA)]]-Tabla1[[#This Row],[M1 '[g']]]-Tabla1[[#This Row],[M4 '[g']  PESO CRISOL + CENIZAS]])</f>
        <v/>
      </c>
      <c r="L128" s="407" t="str">
        <f>IF(ISNUMBER(Tabla1[[#This Row],[%FIBRA TOTAL]]),Tabla1[[#This Row],[%FIBRA TOTAL]]*(100-Tabla1[[#This Row],[%Grasa y/o % humedad En la Muestra g/100g]])/100,"")</f>
        <v/>
      </c>
      <c r="M128" s="393"/>
      <c r="N128" s="399"/>
      <c r="O128" s="411"/>
      <c r="P128" s="412"/>
      <c r="Q128" s="413"/>
      <c r="R128" s="413"/>
    </row>
    <row r="129" spans="1:18" ht="15.75" customHeight="1" x14ac:dyDescent="0.3">
      <c r="A129" s="397"/>
      <c r="B129" s="398"/>
      <c r="C129" s="399"/>
      <c r="D129" s="399"/>
      <c r="E129" s="399"/>
      <c r="F129" s="399"/>
      <c r="G129" s="400"/>
      <c r="H129" s="400"/>
      <c r="I129" s="400"/>
      <c r="J129" s="406" t="str">
        <f>IF(OR(ISBLANK(Tabla1[[#This Row],[M3 '[g'] PESO CRISOL+MUESTRA (SECA)]]),ISBLANK(Tabla1[[#This Row],[M1 '[g']]]),ISBLANK(Tabla1[[#This Row],[M4 '[g']  PESO CRISOL + CENIZAS]]),ISBLANK(Tabla1[[#This Row],[M5]])),"",Tabla1[[#This Row],[M3 '[g'] PESO CRISOL+MUESTRA (SECA)]]-Tabla1[[#This Row],[M1 '[g']]]-Tabla1[[#This Row],[M4 '[g']  PESO CRISOL + CENIZAS]]-Tabla1[[#This Row],[M5]])</f>
        <v/>
      </c>
      <c r="K129" s="407" t="str">
        <f>IF(OR(ISBLANK(Tabla1[[#This Row],[M3 '[g'] PESO CRISOL+MUESTRA (SECA)]]),ISBLANK(Tabla1[[#This Row],[M1 '[g']]]),ISBLANK(Tabla1[[#This Row],[M4 '[g']  PESO CRISOL + CENIZAS]])),"",Tabla1[[#This Row],[M3 '[g'] PESO CRISOL+MUESTRA (SECA)]]-Tabla1[[#This Row],[M1 '[g']]]-Tabla1[[#This Row],[M4 '[g']  PESO CRISOL + CENIZAS]])</f>
        <v/>
      </c>
      <c r="L129" s="407" t="str">
        <f>IF(ISNUMBER(Tabla1[[#This Row],[%FIBRA TOTAL]]),Tabla1[[#This Row],[%FIBRA TOTAL]]*(100-Tabla1[[#This Row],[%Grasa y/o % humedad En la Muestra g/100g]])/100,"")</f>
        <v/>
      </c>
      <c r="M129" s="393"/>
      <c r="N129" s="399"/>
      <c r="O129" s="411"/>
      <c r="P129" s="412"/>
      <c r="Q129" s="413"/>
      <c r="R129" s="413"/>
    </row>
    <row r="130" spans="1:18" ht="15.75" customHeight="1" x14ac:dyDescent="0.3">
      <c r="A130" s="397"/>
      <c r="B130" s="398"/>
      <c r="C130" s="399"/>
      <c r="D130" s="399"/>
      <c r="E130" s="399"/>
      <c r="F130" s="399"/>
      <c r="G130" s="400"/>
      <c r="H130" s="400"/>
      <c r="I130" s="400"/>
      <c r="J130" s="406" t="str">
        <f>IF(OR(ISBLANK(Tabla1[[#This Row],[M3 '[g'] PESO CRISOL+MUESTRA (SECA)]]),ISBLANK(Tabla1[[#This Row],[M1 '[g']]]),ISBLANK(Tabla1[[#This Row],[M4 '[g']  PESO CRISOL + CENIZAS]]),ISBLANK(Tabla1[[#This Row],[M5]])),"",Tabla1[[#This Row],[M3 '[g'] PESO CRISOL+MUESTRA (SECA)]]-Tabla1[[#This Row],[M1 '[g']]]-Tabla1[[#This Row],[M4 '[g']  PESO CRISOL + CENIZAS]]-Tabla1[[#This Row],[M5]])</f>
        <v/>
      </c>
      <c r="K130" s="407" t="str">
        <f>IF(OR(ISBLANK(Tabla1[[#This Row],[M3 '[g'] PESO CRISOL+MUESTRA (SECA)]]),ISBLANK(Tabla1[[#This Row],[M1 '[g']]]),ISBLANK(Tabla1[[#This Row],[M4 '[g']  PESO CRISOL + CENIZAS]])),"",Tabla1[[#This Row],[M3 '[g'] PESO CRISOL+MUESTRA (SECA)]]-Tabla1[[#This Row],[M1 '[g']]]-Tabla1[[#This Row],[M4 '[g']  PESO CRISOL + CENIZAS]])</f>
        <v/>
      </c>
      <c r="L130" s="407" t="str">
        <f>IF(ISNUMBER(Tabla1[[#This Row],[%FIBRA TOTAL]]),Tabla1[[#This Row],[%FIBRA TOTAL]]*(100-Tabla1[[#This Row],[%Grasa y/o % humedad En la Muestra g/100g]])/100,"")</f>
        <v/>
      </c>
      <c r="M130" s="393"/>
      <c r="N130" s="399"/>
      <c r="O130" s="411"/>
      <c r="P130" s="412"/>
      <c r="Q130" s="413"/>
      <c r="R130" s="413"/>
    </row>
    <row r="131" spans="1:18" ht="15.75" customHeight="1" x14ac:dyDescent="0.3">
      <c r="A131" s="397"/>
      <c r="B131" s="398"/>
      <c r="C131" s="399"/>
      <c r="D131" s="399"/>
      <c r="E131" s="399"/>
      <c r="F131" s="399"/>
      <c r="G131" s="400"/>
      <c r="H131" s="400"/>
      <c r="I131" s="400"/>
      <c r="J131" s="406" t="str">
        <f>IF(OR(ISBLANK(Tabla1[[#This Row],[M3 '[g'] PESO CRISOL+MUESTRA (SECA)]]),ISBLANK(Tabla1[[#This Row],[M1 '[g']]]),ISBLANK(Tabla1[[#This Row],[M4 '[g']  PESO CRISOL + CENIZAS]]),ISBLANK(Tabla1[[#This Row],[M5]])),"",Tabla1[[#This Row],[M3 '[g'] PESO CRISOL+MUESTRA (SECA)]]-Tabla1[[#This Row],[M1 '[g']]]-Tabla1[[#This Row],[M4 '[g']  PESO CRISOL + CENIZAS]]-Tabla1[[#This Row],[M5]])</f>
        <v/>
      </c>
      <c r="K131" s="407" t="str">
        <f>IF(OR(ISBLANK(Tabla1[[#This Row],[M3 '[g'] PESO CRISOL+MUESTRA (SECA)]]),ISBLANK(Tabla1[[#This Row],[M1 '[g']]]),ISBLANK(Tabla1[[#This Row],[M4 '[g']  PESO CRISOL + CENIZAS]])),"",Tabla1[[#This Row],[M3 '[g'] PESO CRISOL+MUESTRA (SECA)]]-Tabla1[[#This Row],[M1 '[g']]]-Tabla1[[#This Row],[M4 '[g']  PESO CRISOL + CENIZAS]])</f>
        <v/>
      </c>
      <c r="L131" s="407" t="str">
        <f>IF(ISNUMBER(Tabla1[[#This Row],[%FIBRA TOTAL]]),Tabla1[[#This Row],[%FIBRA TOTAL]]*(100-Tabla1[[#This Row],[%Grasa y/o % humedad En la Muestra g/100g]])/100,"")</f>
        <v/>
      </c>
      <c r="M131" s="393"/>
      <c r="N131" s="399"/>
      <c r="O131" s="411"/>
      <c r="P131" s="412"/>
      <c r="Q131" s="413"/>
      <c r="R131" s="413"/>
    </row>
    <row r="132" spans="1:18" ht="15.75" customHeight="1" x14ac:dyDescent="0.3">
      <c r="A132" s="397"/>
      <c r="B132" s="398"/>
      <c r="C132" s="399"/>
      <c r="D132" s="399"/>
      <c r="E132" s="399"/>
      <c r="F132" s="399"/>
      <c r="G132" s="400"/>
      <c r="H132" s="400"/>
      <c r="I132" s="400"/>
      <c r="J132" s="406" t="str">
        <f>IF(OR(ISBLANK(Tabla1[[#This Row],[M3 '[g'] PESO CRISOL+MUESTRA (SECA)]]),ISBLANK(Tabla1[[#This Row],[M1 '[g']]]),ISBLANK(Tabla1[[#This Row],[M4 '[g']  PESO CRISOL + CENIZAS]]),ISBLANK(Tabla1[[#This Row],[M5]])),"",Tabla1[[#This Row],[M3 '[g'] PESO CRISOL+MUESTRA (SECA)]]-Tabla1[[#This Row],[M1 '[g']]]-Tabla1[[#This Row],[M4 '[g']  PESO CRISOL + CENIZAS]]-Tabla1[[#This Row],[M5]])</f>
        <v/>
      </c>
      <c r="K132" s="407" t="str">
        <f>IF(OR(ISBLANK(Tabla1[[#This Row],[M3 '[g'] PESO CRISOL+MUESTRA (SECA)]]),ISBLANK(Tabla1[[#This Row],[M1 '[g']]]),ISBLANK(Tabla1[[#This Row],[M4 '[g']  PESO CRISOL + CENIZAS]])),"",Tabla1[[#This Row],[M3 '[g'] PESO CRISOL+MUESTRA (SECA)]]-Tabla1[[#This Row],[M1 '[g']]]-Tabla1[[#This Row],[M4 '[g']  PESO CRISOL + CENIZAS]])</f>
        <v/>
      </c>
      <c r="L132" s="407" t="str">
        <f>IF(ISNUMBER(Tabla1[[#This Row],[%FIBRA TOTAL]]),Tabla1[[#This Row],[%FIBRA TOTAL]]*(100-Tabla1[[#This Row],[%Grasa y/o % humedad En la Muestra g/100g]])/100,"")</f>
        <v/>
      </c>
      <c r="M132" s="393"/>
      <c r="N132" s="399"/>
      <c r="O132" s="411"/>
      <c r="P132" s="412"/>
      <c r="Q132" s="413"/>
      <c r="R132" s="413"/>
    </row>
    <row r="133" spans="1:18" ht="15.75" customHeight="1" x14ac:dyDescent="0.3">
      <c r="A133" s="397"/>
      <c r="B133" s="398"/>
      <c r="C133" s="399"/>
      <c r="D133" s="399"/>
      <c r="E133" s="399"/>
      <c r="F133" s="399"/>
      <c r="G133" s="400"/>
      <c r="H133" s="400"/>
      <c r="I133" s="400"/>
      <c r="J133" s="406" t="str">
        <f>IF(OR(ISBLANK(Tabla1[[#This Row],[M3 '[g'] PESO CRISOL+MUESTRA (SECA)]]),ISBLANK(Tabla1[[#This Row],[M1 '[g']]]),ISBLANK(Tabla1[[#This Row],[M4 '[g']  PESO CRISOL + CENIZAS]]),ISBLANK(Tabla1[[#This Row],[M5]])),"",Tabla1[[#This Row],[M3 '[g'] PESO CRISOL+MUESTRA (SECA)]]-Tabla1[[#This Row],[M1 '[g']]]-Tabla1[[#This Row],[M4 '[g']  PESO CRISOL + CENIZAS]]-Tabla1[[#This Row],[M5]])</f>
        <v/>
      </c>
      <c r="K133" s="407" t="str">
        <f>IF(OR(ISBLANK(Tabla1[[#This Row],[M3 '[g'] PESO CRISOL+MUESTRA (SECA)]]),ISBLANK(Tabla1[[#This Row],[M1 '[g']]]),ISBLANK(Tabla1[[#This Row],[M4 '[g']  PESO CRISOL + CENIZAS]])),"",Tabla1[[#This Row],[M3 '[g'] PESO CRISOL+MUESTRA (SECA)]]-Tabla1[[#This Row],[M1 '[g']]]-Tabla1[[#This Row],[M4 '[g']  PESO CRISOL + CENIZAS]])</f>
        <v/>
      </c>
      <c r="L133" s="407" t="str">
        <f>IF(ISNUMBER(Tabla1[[#This Row],[%FIBRA TOTAL]]),Tabla1[[#This Row],[%FIBRA TOTAL]]*(100-Tabla1[[#This Row],[%Grasa y/o % humedad En la Muestra g/100g]])/100,"")</f>
        <v/>
      </c>
      <c r="M133" s="393"/>
      <c r="N133" s="399"/>
      <c r="O133" s="411"/>
      <c r="P133" s="412"/>
      <c r="Q133" s="413"/>
      <c r="R133" s="413"/>
    </row>
    <row r="134" spans="1:18" ht="15.75" customHeight="1" x14ac:dyDescent="0.3">
      <c r="A134" s="397"/>
      <c r="B134" s="398"/>
      <c r="C134" s="399"/>
      <c r="D134" s="399"/>
      <c r="E134" s="399"/>
      <c r="F134" s="399"/>
      <c r="G134" s="400"/>
      <c r="H134" s="400"/>
      <c r="I134" s="400"/>
      <c r="J134" s="406" t="str">
        <f>IF(OR(ISBLANK(Tabla1[[#This Row],[M3 '[g'] PESO CRISOL+MUESTRA (SECA)]]),ISBLANK(Tabla1[[#This Row],[M1 '[g']]]),ISBLANK(Tabla1[[#This Row],[M4 '[g']  PESO CRISOL + CENIZAS]]),ISBLANK(Tabla1[[#This Row],[M5]])),"",Tabla1[[#This Row],[M3 '[g'] PESO CRISOL+MUESTRA (SECA)]]-Tabla1[[#This Row],[M1 '[g']]]-Tabla1[[#This Row],[M4 '[g']  PESO CRISOL + CENIZAS]]-Tabla1[[#This Row],[M5]])</f>
        <v/>
      </c>
      <c r="K134" s="407" t="str">
        <f>IF(OR(ISBLANK(Tabla1[[#This Row],[M3 '[g'] PESO CRISOL+MUESTRA (SECA)]]),ISBLANK(Tabla1[[#This Row],[M1 '[g']]]),ISBLANK(Tabla1[[#This Row],[M4 '[g']  PESO CRISOL + CENIZAS]])),"",Tabla1[[#This Row],[M3 '[g'] PESO CRISOL+MUESTRA (SECA)]]-Tabla1[[#This Row],[M1 '[g']]]-Tabla1[[#This Row],[M4 '[g']  PESO CRISOL + CENIZAS]])</f>
        <v/>
      </c>
      <c r="L134" s="407" t="str">
        <f>IF(ISNUMBER(Tabla1[[#This Row],[%FIBRA TOTAL]]),Tabla1[[#This Row],[%FIBRA TOTAL]]*(100-Tabla1[[#This Row],[%Grasa y/o % humedad En la Muestra g/100g]])/100,"")</f>
        <v/>
      </c>
      <c r="M134" s="393"/>
      <c r="N134" s="399"/>
      <c r="O134" s="411"/>
      <c r="P134" s="412"/>
      <c r="Q134" s="413"/>
      <c r="R134" s="413"/>
    </row>
    <row r="135" spans="1:18" ht="15.75" customHeight="1" x14ac:dyDescent="0.3">
      <c r="A135" s="397"/>
      <c r="B135" s="398"/>
      <c r="C135" s="399"/>
      <c r="D135" s="399"/>
      <c r="E135" s="399"/>
      <c r="F135" s="399"/>
      <c r="G135" s="400"/>
      <c r="H135" s="400"/>
      <c r="I135" s="400"/>
      <c r="J135" s="406" t="str">
        <f>IF(OR(ISBLANK(Tabla1[[#This Row],[M3 '[g'] PESO CRISOL+MUESTRA (SECA)]]),ISBLANK(Tabla1[[#This Row],[M1 '[g']]]),ISBLANK(Tabla1[[#This Row],[M4 '[g']  PESO CRISOL + CENIZAS]]),ISBLANK(Tabla1[[#This Row],[M5]])),"",Tabla1[[#This Row],[M3 '[g'] PESO CRISOL+MUESTRA (SECA)]]-Tabla1[[#This Row],[M1 '[g']]]-Tabla1[[#This Row],[M4 '[g']  PESO CRISOL + CENIZAS]]-Tabla1[[#This Row],[M5]])</f>
        <v/>
      </c>
      <c r="K135" s="407" t="str">
        <f>IF(OR(ISBLANK(Tabla1[[#This Row],[M3 '[g'] PESO CRISOL+MUESTRA (SECA)]]),ISBLANK(Tabla1[[#This Row],[M1 '[g']]]),ISBLANK(Tabla1[[#This Row],[M4 '[g']  PESO CRISOL + CENIZAS]])),"",Tabla1[[#This Row],[M3 '[g'] PESO CRISOL+MUESTRA (SECA)]]-Tabla1[[#This Row],[M1 '[g']]]-Tabla1[[#This Row],[M4 '[g']  PESO CRISOL + CENIZAS]])</f>
        <v/>
      </c>
      <c r="L135" s="407" t="str">
        <f>IF(ISNUMBER(Tabla1[[#This Row],[%FIBRA TOTAL]]),Tabla1[[#This Row],[%FIBRA TOTAL]]*(100-Tabla1[[#This Row],[%Grasa y/o % humedad En la Muestra g/100g]])/100,"")</f>
        <v/>
      </c>
      <c r="M135" s="393"/>
      <c r="N135" s="399"/>
      <c r="O135" s="411"/>
      <c r="P135" s="412"/>
      <c r="Q135" s="413"/>
      <c r="R135" s="413"/>
    </row>
    <row r="136" spans="1:18" ht="15.75" customHeight="1" x14ac:dyDescent="0.3">
      <c r="A136" s="397"/>
      <c r="B136" s="398"/>
      <c r="C136" s="399"/>
      <c r="D136" s="399"/>
      <c r="E136" s="399"/>
      <c r="F136" s="399"/>
      <c r="G136" s="400"/>
      <c r="H136" s="400"/>
      <c r="I136" s="400"/>
      <c r="J136" s="406" t="str">
        <f>IF(OR(ISBLANK(Tabla1[[#This Row],[M3 '[g'] PESO CRISOL+MUESTRA (SECA)]]),ISBLANK(Tabla1[[#This Row],[M1 '[g']]]),ISBLANK(Tabla1[[#This Row],[M4 '[g']  PESO CRISOL + CENIZAS]]),ISBLANK(Tabla1[[#This Row],[M5]])),"",Tabla1[[#This Row],[M3 '[g'] PESO CRISOL+MUESTRA (SECA)]]-Tabla1[[#This Row],[M1 '[g']]]-Tabla1[[#This Row],[M4 '[g']  PESO CRISOL + CENIZAS]]-Tabla1[[#This Row],[M5]])</f>
        <v/>
      </c>
      <c r="K136" s="407" t="str">
        <f>IF(OR(ISBLANK(Tabla1[[#This Row],[M3 '[g'] PESO CRISOL+MUESTRA (SECA)]]),ISBLANK(Tabla1[[#This Row],[M1 '[g']]]),ISBLANK(Tabla1[[#This Row],[M4 '[g']  PESO CRISOL + CENIZAS]])),"",Tabla1[[#This Row],[M3 '[g'] PESO CRISOL+MUESTRA (SECA)]]-Tabla1[[#This Row],[M1 '[g']]]-Tabla1[[#This Row],[M4 '[g']  PESO CRISOL + CENIZAS]])</f>
        <v/>
      </c>
      <c r="L136" s="407" t="str">
        <f>IF(ISNUMBER(Tabla1[[#This Row],[%FIBRA TOTAL]]),Tabla1[[#This Row],[%FIBRA TOTAL]]*(100-Tabla1[[#This Row],[%Grasa y/o % humedad En la Muestra g/100g]])/100,"")</f>
        <v/>
      </c>
      <c r="M136" s="393"/>
      <c r="N136" s="399"/>
      <c r="O136" s="411"/>
      <c r="P136" s="412"/>
      <c r="Q136" s="413"/>
      <c r="R136" s="415"/>
    </row>
    <row r="137" spans="1:18" ht="15.75" customHeight="1" x14ac:dyDescent="0.3">
      <c r="A137" s="397"/>
      <c r="B137" s="398"/>
      <c r="C137" s="399"/>
      <c r="D137" s="399"/>
      <c r="E137" s="399"/>
      <c r="F137" s="399"/>
      <c r="G137" s="400"/>
      <c r="H137" s="400"/>
      <c r="I137" s="400"/>
      <c r="J137" s="406" t="str">
        <f>IF(OR(ISBLANK(Tabla1[[#This Row],[M3 '[g'] PESO CRISOL+MUESTRA (SECA)]]),ISBLANK(Tabla1[[#This Row],[M1 '[g']]]),ISBLANK(Tabla1[[#This Row],[M4 '[g']  PESO CRISOL + CENIZAS]]),ISBLANK(Tabla1[[#This Row],[M5]])),"",Tabla1[[#This Row],[M3 '[g'] PESO CRISOL+MUESTRA (SECA)]]-Tabla1[[#This Row],[M1 '[g']]]-Tabla1[[#This Row],[M4 '[g']  PESO CRISOL + CENIZAS]]-Tabla1[[#This Row],[M5]])</f>
        <v/>
      </c>
      <c r="K137" s="407" t="str">
        <f>IF(OR(ISBLANK(Tabla1[[#This Row],[M3 '[g'] PESO CRISOL+MUESTRA (SECA)]]),ISBLANK(Tabla1[[#This Row],[M1 '[g']]]),ISBLANK(Tabla1[[#This Row],[M4 '[g']  PESO CRISOL + CENIZAS]])),"",Tabla1[[#This Row],[M3 '[g'] PESO CRISOL+MUESTRA (SECA)]]-Tabla1[[#This Row],[M1 '[g']]]-Tabla1[[#This Row],[M4 '[g']  PESO CRISOL + CENIZAS]])</f>
        <v/>
      </c>
      <c r="L137" s="407" t="str">
        <f>IF(ISNUMBER(Tabla1[[#This Row],[%FIBRA TOTAL]]),Tabla1[[#This Row],[%FIBRA TOTAL]]*(100-Tabla1[[#This Row],[%Grasa y/o % humedad En la Muestra g/100g]])/100,"")</f>
        <v/>
      </c>
      <c r="M137" s="393"/>
      <c r="N137" s="399"/>
      <c r="O137" s="411"/>
      <c r="P137" s="412"/>
      <c r="Q137" s="413"/>
      <c r="R137" s="413"/>
    </row>
    <row r="138" spans="1:18" ht="15.75" customHeight="1" x14ac:dyDescent="0.3">
      <c r="A138" s="397"/>
      <c r="B138" s="398"/>
      <c r="C138" s="399"/>
      <c r="D138" s="399"/>
      <c r="E138" s="399"/>
      <c r="F138" s="399"/>
      <c r="G138" s="400"/>
      <c r="H138" s="400"/>
      <c r="I138" s="400"/>
      <c r="J138" s="406" t="str">
        <f>IF(OR(ISBLANK(Tabla1[[#This Row],[M3 '[g'] PESO CRISOL+MUESTRA (SECA)]]),ISBLANK(Tabla1[[#This Row],[M1 '[g']]]),ISBLANK(Tabla1[[#This Row],[M4 '[g']  PESO CRISOL + CENIZAS]]),ISBLANK(Tabla1[[#This Row],[M5]])),"",Tabla1[[#This Row],[M3 '[g'] PESO CRISOL+MUESTRA (SECA)]]-Tabla1[[#This Row],[M1 '[g']]]-Tabla1[[#This Row],[M4 '[g']  PESO CRISOL + CENIZAS]]-Tabla1[[#This Row],[M5]])</f>
        <v/>
      </c>
      <c r="K138" s="407" t="str">
        <f>IF(OR(ISBLANK(Tabla1[[#This Row],[M3 '[g'] PESO CRISOL+MUESTRA (SECA)]]),ISBLANK(Tabla1[[#This Row],[M1 '[g']]]),ISBLANK(Tabla1[[#This Row],[M4 '[g']  PESO CRISOL + CENIZAS]])),"",Tabla1[[#This Row],[M3 '[g'] PESO CRISOL+MUESTRA (SECA)]]-Tabla1[[#This Row],[M1 '[g']]]-Tabla1[[#This Row],[M4 '[g']  PESO CRISOL + CENIZAS]])</f>
        <v/>
      </c>
      <c r="L138" s="407" t="str">
        <f>IF(ISNUMBER(Tabla1[[#This Row],[%FIBRA TOTAL]]),Tabla1[[#This Row],[%FIBRA TOTAL]]*(100-Tabla1[[#This Row],[%Grasa y/o % humedad En la Muestra g/100g]])/100,"")</f>
        <v/>
      </c>
      <c r="M138" s="393"/>
      <c r="N138" s="399"/>
      <c r="O138" s="411"/>
      <c r="P138" s="412"/>
      <c r="Q138" s="413"/>
      <c r="R138" s="413"/>
    </row>
    <row r="139" spans="1:18" ht="15.75" customHeight="1" x14ac:dyDescent="0.3">
      <c r="A139" s="397"/>
      <c r="B139" s="398"/>
      <c r="C139" s="399"/>
      <c r="D139" s="399"/>
      <c r="E139" s="399"/>
      <c r="F139" s="399"/>
      <c r="G139" s="400"/>
      <c r="H139" s="400"/>
      <c r="I139" s="400"/>
      <c r="J139" s="406" t="str">
        <f>IF(OR(ISBLANK(Tabla1[[#This Row],[M3 '[g'] PESO CRISOL+MUESTRA (SECA)]]),ISBLANK(Tabla1[[#This Row],[M1 '[g']]]),ISBLANK(Tabla1[[#This Row],[M4 '[g']  PESO CRISOL + CENIZAS]]),ISBLANK(Tabla1[[#This Row],[M5]])),"",Tabla1[[#This Row],[M3 '[g'] PESO CRISOL+MUESTRA (SECA)]]-Tabla1[[#This Row],[M1 '[g']]]-Tabla1[[#This Row],[M4 '[g']  PESO CRISOL + CENIZAS]]-Tabla1[[#This Row],[M5]])</f>
        <v/>
      </c>
      <c r="K139" s="407" t="str">
        <f>IF(OR(ISBLANK(Tabla1[[#This Row],[M3 '[g'] PESO CRISOL+MUESTRA (SECA)]]),ISBLANK(Tabla1[[#This Row],[M1 '[g']]]),ISBLANK(Tabla1[[#This Row],[M4 '[g']  PESO CRISOL + CENIZAS]])),"",Tabla1[[#This Row],[M3 '[g'] PESO CRISOL+MUESTRA (SECA)]]-Tabla1[[#This Row],[M1 '[g']]]-Tabla1[[#This Row],[M4 '[g']  PESO CRISOL + CENIZAS]])</f>
        <v/>
      </c>
      <c r="L139" s="407" t="str">
        <f>IF(ISNUMBER(Tabla1[[#This Row],[%FIBRA TOTAL]]),Tabla1[[#This Row],[%FIBRA TOTAL]]*(100-Tabla1[[#This Row],[%Grasa y/o % humedad En la Muestra g/100g]])/100,"")</f>
        <v/>
      </c>
      <c r="M139" s="393"/>
      <c r="N139" s="399"/>
      <c r="O139" s="411"/>
      <c r="P139" s="412"/>
      <c r="Q139" s="413"/>
      <c r="R139" s="413"/>
    </row>
    <row r="140" spans="1:18" ht="15.75" customHeight="1" x14ac:dyDescent="0.3">
      <c r="A140" s="397"/>
      <c r="B140" s="398"/>
      <c r="C140" s="399"/>
      <c r="D140" s="399"/>
      <c r="E140" s="399"/>
      <c r="F140" s="399"/>
      <c r="G140" s="400"/>
      <c r="H140" s="400"/>
      <c r="I140" s="400"/>
      <c r="J140" s="406" t="str">
        <f>IF(OR(ISBLANK(Tabla1[[#This Row],[M3 '[g'] PESO CRISOL+MUESTRA (SECA)]]),ISBLANK(Tabla1[[#This Row],[M1 '[g']]]),ISBLANK(Tabla1[[#This Row],[M4 '[g']  PESO CRISOL + CENIZAS]]),ISBLANK(Tabla1[[#This Row],[M5]])),"",Tabla1[[#This Row],[M3 '[g'] PESO CRISOL+MUESTRA (SECA)]]-Tabla1[[#This Row],[M1 '[g']]]-Tabla1[[#This Row],[M4 '[g']  PESO CRISOL + CENIZAS]]-Tabla1[[#This Row],[M5]])</f>
        <v/>
      </c>
      <c r="K140" s="407" t="str">
        <f>IF(OR(ISBLANK(Tabla1[[#This Row],[M3 '[g'] PESO CRISOL+MUESTRA (SECA)]]),ISBLANK(Tabla1[[#This Row],[M1 '[g']]]),ISBLANK(Tabla1[[#This Row],[M4 '[g']  PESO CRISOL + CENIZAS]])),"",Tabla1[[#This Row],[M3 '[g'] PESO CRISOL+MUESTRA (SECA)]]-Tabla1[[#This Row],[M1 '[g']]]-Tabla1[[#This Row],[M4 '[g']  PESO CRISOL + CENIZAS]])</f>
        <v/>
      </c>
      <c r="L140" s="407" t="str">
        <f>IF(ISNUMBER(Tabla1[[#This Row],[%FIBRA TOTAL]]),Tabla1[[#This Row],[%FIBRA TOTAL]]*(100-Tabla1[[#This Row],[%Grasa y/o % humedad En la Muestra g/100g]])/100,"")</f>
        <v/>
      </c>
      <c r="M140" s="393"/>
      <c r="N140" s="399"/>
      <c r="O140" s="411"/>
      <c r="P140" s="412"/>
      <c r="Q140" s="413"/>
      <c r="R140" s="415"/>
    </row>
    <row r="141" spans="1:18" ht="15.75" customHeight="1" x14ac:dyDescent="0.3">
      <c r="A141" s="397"/>
      <c r="B141" s="398"/>
      <c r="C141" s="399"/>
      <c r="D141" s="399"/>
      <c r="E141" s="399"/>
      <c r="F141" s="399"/>
      <c r="G141" s="400"/>
      <c r="H141" s="400"/>
      <c r="I141" s="400"/>
      <c r="J141" s="406" t="str">
        <f>IF(OR(ISBLANK(Tabla1[[#This Row],[M3 '[g'] PESO CRISOL+MUESTRA (SECA)]]),ISBLANK(Tabla1[[#This Row],[M1 '[g']]]),ISBLANK(Tabla1[[#This Row],[M4 '[g']  PESO CRISOL + CENIZAS]]),ISBLANK(Tabla1[[#This Row],[M5]])),"",Tabla1[[#This Row],[M3 '[g'] PESO CRISOL+MUESTRA (SECA)]]-Tabla1[[#This Row],[M1 '[g']]]-Tabla1[[#This Row],[M4 '[g']  PESO CRISOL + CENIZAS]]-Tabla1[[#This Row],[M5]])</f>
        <v/>
      </c>
      <c r="K141" s="407" t="str">
        <f>IF(OR(ISBLANK(Tabla1[[#This Row],[M3 '[g'] PESO CRISOL+MUESTRA (SECA)]]),ISBLANK(Tabla1[[#This Row],[M1 '[g']]]),ISBLANK(Tabla1[[#This Row],[M4 '[g']  PESO CRISOL + CENIZAS]])),"",Tabla1[[#This Row],[M3 '[g'] PESO CRISOL+MUESTRA (SECA)]]-Tabla1[[#This Row],[M1 '[g']]]-Tabla1[[#This Row],[M4 '[g']  PESO CRISOL + CENIZAS]])</f>
        <v/>
      </c>
      <c r="L141" s="407" t="str">
        <f>IF(ISNUMBER(Tabla1[[#This Row],[%FIBRA TOTAL]]),Tabla1[[#This Row],[%FIBRA TOTAL]]*(100-Tabla1[[#This Row],[%Grasa y/o % humedad En la Muestra g/100g]])/100,"")</f>
        <v/>
      </c>
      <c r="M141" s="393"/>
      <c r="N141" s="399"/>
      <c r="O141" s="411"/>
      <c r="P141" s="412"/>
      <c r="Q141" s="413"/>
      <c r="R141" s="413"/>
    </row>
    <row r="142" spans="1:18" ht="15.75" customHeight="1" x14ac:dyDescent="0.3">
      <c r="A142" s="397"/>
      <c r="B142" s="398"/>
      <c r="C142" s="399"/>
      <c r="D142" s="399"/>
      <c r="E142" s="399"/>
      <c r="F142" s="399"/>
      <c r="G142" s="400"/>
      <c r="H142" s="400"/>
      <c r="I142" s="400"/>
      <c r="J142" s="406" t="str">
        <f>IF(OR(ISBLANK(Tabla1[[#This Row],[M3 '[g'] PESO CRISOL+MUESTRA (SECA)]]),ISBLANK(Tabla1[[#This Row],[M1 '[g']]]),ISBLANK(Tabla1[[#This Row],[M4 '[g']  PESO CRISOL + CENIZAS]]),ISBLANK(Tabla1[[#This Row],[M5]])),"",Tabla1[[#This Row],[M3 '[g'] PESO CRISOL+MUESTRA (SECA)]]-Tabla1[[#This Row],[M1 '[g']]]-Tabla1[[#This Row],[M4 '[g']  PESO CRISOL + CENIZAS]]-Tabla1[[#This Row],[M5]])</f>
        <v/>
      </c>
      <c r="K142" s="407" t="str">
        <f>IF(OR(ISBLANK(Tabla1[[#This Row],[M3 '[g'] PESO CRISOL+MUESTRA (SECA)]]),ISBLANK(Tabla1[[#This Row],[M1 '[g']]]),ISBLANK(Tabla1[[#This Row],[M4 '[g']  PESO CRISOL + CENIZAS]])),"",Tabla1[[#This Row],[M3 '[g'] PESO CRISOL+MUESTRA (SECA)]]-Tabla1[[#This Row],[M1 '[g']]]-Tabla1[[#This Row],[M4 '[g']  PESO CRISOL + CENIZAS]])</f>
        <v/>
      </c>
      <c r="L142" s="407" t="str">
        <f>IF(ISNUMBER(Tabla1[[#This Row],[%FIBRA TOTAL]]),Tabla1[[#This Row],[%FIBRA TOTAL]]*(100-Tabla1[[#This Row],[%Grasa y/o % humedad En la Muestra g/100g]])/100,"")</f>
        <v/>
      </c>
      <c r="M142" s="393"/>
      <c r="N142" s="399"/>
      <c r="O142" s="411"/>
      <c r="P142" s="412"/>
      <c r="Q142" s="413"/>
      <c r="R142" s="413"/>
    </row>
    <row r="143" spans="1:18" ht="15.75" customHeight="1" x14ac:dyDescent="0.3">
      <c r="A143" s="397"/>
      <c r="B143" s="398"/>
      <c r="C143" s="399"/>
      <c r="D143" s="399"/>
      <c r="E143" s="399"/>
      <c r="F143" s="399"/>
      <c r="G143" s="400"/>
      <c r="H143" s="400"/>
      <c r="I143" s="400"/>
      <c r="J143" s="406" t="str">
        <f>IF(OR(ISBLANK(Tabla1[[#This Row],[M3 '[g'] PESO CRISOL+MUESTRA (SECA)]]),ISBLANK(Tabla1[[#This Row],[M1 '[g']]]),ISBLANK(Tabla1[[#This Row],[M4 '[g']  PESO CRISOL + CENIZAS]]),ISBLANK(Tabla1[[#This Row],[M5]])),"",Tabla1[[#This Row],[M3 '[g'] PESO CRISOL+MUESTRA (SECA)]]-Tabla1[[#This Row],[M1 '[g']]]-Tabla1[[#This Row],[M4 '[g']  PESO CRISOL + CENIZAS]]-Tabla1[[#This Row],[M5]])</f>
        <v/>
      </c>
      <c r="K143" s="407" t="str">
        <f>IF(OR(ISBLANK(Tabla1[[#This Row],[M3 '[g'] PESO CRISOL+MUESTRA (SECA)]]),ISBLANK(Tabla1[[#This Row],[M1 '[g']]]),ISBLANK(Tabla1[[#This Row],[M4 '[g']  PESO CRISOL + CENIZAS]])),"",Tabla1[[#This Row],[M3 '[g'] PESO CRISOL+MUESTRA (SECA)]]-Tabla1[[#This Row],[M1 '[g']]]-Tabla1[[#This Row],[M4 '[g']  PESO CRISOL + CENIZAS]])</f>
        <v/>
      </c>
      <c r="L143" s="407" t="str">
        <f>IF(ISNUMBER(Tabla1[[#This Row],[%FIBRA TOTAL]]),Tabla1[[#This Row],[%FIBRA TOTAL]]*(100-Tabla1[[#This Row],[%Grasa y/o % humedad En la Muestra g/100g]])/100,"")</f>
        <v/>
      </c>
      <c r="M143" s="393"/>
      <c r="N143" s="399"/>
      <c r="O143" s="411"/>
      <c r="P143" s="412"/>
      <c r="Q143" s="413"/>
      <c r="R143" s="413"/>
    </row>
    <row r="144" spans="1:18" ht="15.75" customHeight="1" x14ac:dyDescent="0.3">
      <c r="A144" s="397"/>
      <c r="B144" s="398"/>
      <c r="C144" s="399"/>
      <c r="D144" s="399"/>
      <c r="E144" s="399"/>
      <c r="F144" s="399"/>
      <c r="G144" s="400"/>
      <c r="H144" s="400"/>
      <c r="I144" s="400"/>
      <c r="J144" s="406" t="str">
        <f>IF(OR(ISBLANK(Tabla1[[#This Row],[M3 '[g'] PESO CRISOL+MUESTRA (SECA)]]),ISBLANK(Tabla1[[#This Row],[M1 '[g']]]),ISBLANK(Tabla1[[#This Row],[M4 '[g']  PESO CRISOL + CENIZAS]]),ISBLANK(Tabla1[[#This Row],[M5]])),"",Tabla1[[#This Row],[M3 '[g'] PESO CRISOL+MUESTRA (SECA)]]-Tabla1[[#This Row],[M1 '[g']]]-Tabla1[[#This Row],[M4 '[g']  PESO CRISOL + CENIZAS]]-Tabla1[[#This Row],[M5]])</f>
        <v/>
      </c>
      <c r="K144" s="407" t="str">
        <f>IF(OR(ISBLANK(Tabla1[[#This Row],[M3 '[g'] PESO CRISOL+MUESTRA (SECA)]]),ISBLANK(Tabla1[[#This Row],[M1 '[g']]]),ISBLANK(Tabla1[[#This Row],[M4 '[g']  PESO CRISOL + CENIZAS]])),"",Tabla1[[#This Row],[M3 '[g'] PESO CRISOL+MUESTRA (SECA)]]-Tabla1[[#This Row],[M1 '[g']]]-Tabla1[[#This Row],[M4 '[g']  PESO CRISOL + CENIZAS]])</f>
        <v/>
      </c>
      <c r="L144" s="407" t="str">
        <f>IF(ISNUMBER(Tabla1[[#This Row],[%FIBRA TOTAL]]),Tabla1[[#This Row],[%FIBRA TOTAL]]*(100-Tabla1[[#This Row],[%Grasa y/o % humedad En la Muestra g/100g]])/100,"")</f>
        <v/>
      </c>
      <c r="M144" s="393"/>
      <c r="N144" s="399"/>
      <c r="O144" s="411"/>
      <c r="P144" s="412"/>
      <c r="Q144" s="413"/>
      <c r="R144" s="413"/>
    </row>
    <row r="145" spans="1:18" ht="15.75" customHeight="1" x14ac:dyDescent="0.3">
      <c r="A145" s="397"/>
      <c r="B145" s="398"/>
      <c r="C145" s="399"/>
      <c r="D145" s="399"/>
      <c r="E145" s="399"/>
      <c r="F145" s="399"/>
      <c r="G145" s="400"/>
      <c r="H145" s="400"/>
      <c r="I145" s="400"/>
      <c r="J145" s="406" t="str">
        <f>IF(OR(ISBLANK(Tabla1[[#This Row],[M3 '[g'] PESO CRISOL+MUESTRA (SECA)]]),ISBLANK(Tabla1[[#This Row],[M1 '[g']]]),ISBLANK(Tabla1[[#This Row],[M4 '[g']  PESO CRISOL + CENIZAS]]),ISBLANK(Tabla1[[#This Row],[M5]])),"",Tabla1[[#This Row],[M3 '[g'] PESO CRISOL+MUESTRA (SECA)]]-Tabla1[[#This Row],[M1 '[g']]]-Tabla1[[#This Row],[M4 '[g']  PESO CRISOL + CENIZAS]]-Tabla1[[#This Row],[M5]])</f>
        <v/>
      </c>
      <c r="K145" s="407" t="str">
        <f>IF(OR(ISBLANK(Tabla1[[#This Row],[M3 '[g'] PESO CRISOL+MUESTRA (SECA)]]),ISBLANK(Tabla1[[#This Row],[M1 '[g']]]),ISBLANK(Tabla1[[#This Row],[M4 '[g']  PESO CRISOL + CENIZAS]])),"",Tabla1[[#This Row],[M3 '[g'] PESO CRISOL+MUESTRA (SECA)]]-Tabla1[[#This Row],[M1 '[g']]]-Tabla1[[#This Row],[M4 '[g']  PESO CRISOL + CENIZAS]])</f>
        <v/>
      </c>
      <c r="L145" s="407" t="str">
        <f>IF(ISNUMBER(Tabla1[[#This Row],[%FIBRA TOTAL]]),Tabla1[[#This Row],[%FIBRA TOTAL]]*(100-Tabla1[[#This Row],[%Grasa y/o % humedad En la Muestra g/100g]])/100,"")</f>
        <v/>
      </c>
      <c r="M145" s="393"/>
      <c r="N145" s="399"/>
      <c r="O145" s="411"/>
      <c r="P145" s="412"/>
      <c r="Q145" s="413"/>
      <c r="R145" s="413"/>
    </row>
    <row r="146" spans="1:18" ht="15.75" customHeight="1" x14ac:dyDescent="0.3">
      <c r="A146" s="397"/>
      <c r="B146" s="398"/>
      <c r="C146" s="399"/>
      <c r="D146" s="399"/>
      <c r="E146" s="399"/>
      <c r="F146" s="399"/>
      <c r="G146" s="400"/>
      <c r="H146" s="400"/>
      <c r="I146" s="400"/>
      <c r="J146" s="406" t="str">
        <f>IF(OR(ISBLANK(Tabla1[[#This Row],[M3 '[g'] PESO CRISOL+MUESTRA (SECA)]]),ISBLANK(Tabla1[[#This Row],[M1 '[g']]]),ISBLANK(Tabla1[[#This Row],[M4 '[g']  PESO CRISOL + CENIZAS]]),ISBLANK(Tabla1[[#This Row],[M5]])),"",Tabla1[[#This Row],[M3 '[g'] PESO CRISOL+MUESTRA (SECA)]]-Tabla1[[#This Row],[M1 '[g']]]-Tabla1[[#This Row],[M4 '[g']  PESO CRISOL + CENIZAS]]-Tabla1[[#This Row],[M5]])</f>
        <v/>
      </c>
      <c r="K146" s="407" t="str">
        <f>IF(OR(ISBLANK(Tabla1[[#This Row],[M3 '[g'] PESO CRISOL+MUESTRA (SECA)]]),ISBLANK(Tabla1[[#This Row],[M1 '[g']]]),ISBLANK(Tabla1[[#This Row],[M4 '[g']  PESO CRISOL + CENIZAS]])),"",Tabla1[[#This Row],[M3 '[g'] PESO CRISOL+MUESTRA (SECA)]]-Tabla1[[#This Row],[M1 '[g']]]-Tabla1[[#This Row],[M4 '[g']  PESO CRISOL + CENIZAS]])</f>
        <v/>
      </c>
      <c r="L146" s="407" t="str">
        <f>IF(ISNUMBER(Tabla1[[#This Row],[%FIBRA TOTAL]]),Tabla1[[#This Row],[%FIBRA TOTAL]]*(100-Tabla1[[#This Row],[%Grasa y/o % humedad En la Muestra g/100g]])/100,"")</f>
        <v/>
      </c>
      <c r="M146" s="393"/>
      <c r="N146" s="399"/>
      <c r="O146" s="411"/>
      <c r="P146" s="412"/>
      <c r="Q146" s="413"/>
      <c r="R146" s="413"/>
    </row>
    <row r="147" spans="1:18" ht="15.75" customHeight="1" x14ac:dyDescent="0.3">
      <c r="A147" s="397"/>
      <c r="B147" s="398"/>
      <c r="C147" s="399"/>
      <c r="D147" s="399"/>
      <c r="E147" s="399"/>
      <c r="F147" s="399"/>
      <c r="G147" s="400"/>
      <c r="H147" s="400"/>
      <c r="I147" s="400"/>
      <c r="J147" s="406" t="str">
        <f>IF(OR(ISBLANK(Tabla1[[#This Row],[M3 '[g'] PESO CRISOL+MUESTRA (SECA)]]),ISBLANK(Tabla1[[#This Row],[M1 '[g']]]),ISBLANK(Tabla1[[#This Row],[M4 '[g']  PESO CRISOL + CENIZAS]]),ISBLANK(Tabla1[[#This Row],[M5]])),"",Tabla1[[#This Row],[M3 '[g'] PESO CRISOL+MUESTRA (SECA)]]-Tabla1[[#This Row],[M1 '[g']]]-Tabla1[[#This Row],[M4 '[g']  PESO CRISOL + CENIZAS]]-Tabla1[[#This Row],[M5]])</f>
        <v/>
      </c>
      <c r="K147" s="407" t="str">
        <f>IF(OR(ISBLANK(Tabla1[[#This Row],[M3 '[g'] PESO CRISOL+MUESTRA (SECA)]]),ISBLANK(Tabla1[[#This Row],[M1 '[g']]]),ISBLANK(Tabla1[[#This Row],[M4 '[g']  PESO CRISOL + CENIZAS]])),"",Tabla1[[#This Row],[M3 '[g'] PESO CRISOL+MUESTRA (SECA)]]-Tabla1[[#This Row],[M1 '[g']]]-Tabla1[[#This Row],[M4 '[g']  PESO CRISOL + CENIZAS]])</f>
        <v/>
      </c>
      <c r="L147" s="407" t="str">
        <f>IF(ISNUMBER(Tabla1[[#This Row],[%FIBRA TOTAL]]),Tabla1[[#This Row],[%FIBRA TOTAL]]*(100-Tabla1[[#This Row],[%Grasa y/o % humedad En la Muestra g/100g]])/100,"")</f>
        <v/>
      </c>
      <c r="M147" s="393"/>
      <c r="N147" s="399"/>
      <c r="O147" s="411"/>
      <c r="P147" s="412"/>
      <c r="Q147" s="413"/>
      <c r="R147" s="413"/>
    </row>
    <row r="148" spans="1:18" ht="15.75" customHeight="1" x14ac:dyDescent="0.3">
      <c r="A148" s="397"/>
      <c r="B148" s="398"/>
      <c r="C148" s="399"/>
      <c r="D148" s="399"/>
      <c r="E148" s="399"/>
      <c r="F148" s="399"/>
      <c r="G148" s="400"/>
      <c r="H148" s="400"/>
      <c r="I148" s="400"/>
      <c r="J148" s="406" t="str">
        <f>IF(OR(ISBLANK(Tabla1[[#This Row],[M3 '[g'] PESO CRISOL+MUESTRA (SECA)]]),ISBLANK(Tabla1[[#This Row],[M1 '[g']]]),ISBLANK(Tabla1[[#This Row],[M4 '[g']  PESO CRISOL + CENIZAS]]),ISBLANK(Tabla1[[#This Row],[M5]])),"",Tabla1[[#This Row],[M3 '[g'] PESO CRISOL+MUESTRA (SECA)]]-Tabla1[[#This Row],[M1 '[g']]]-Tabla1[[#This Row],[M4 '[g']  PESO CRISOL + CENIZAS]]-Tabla1[[#This Row],[M5]])</f>
        <v/>
      </c>
      <c r="K148" s="407" t="str">
        <f>IF(OR(ISBLANK(Tabla1[[#This Row],[M3 '[g'] PESO CRISOL+MUESTRA (SECA)]]),ISBLANK(Tabla1[[#This Row],[M1 '[g']]]),ISBLANK(Tabla1[[#This Row],[M4 '[g']  PESO CRISOL + CENIZAS]])),"",Tabla1[[#This Row],[M3 '[g'] PESO CRISOL+MUESTRA (SECA)]]-Tabla1[[#This Row],[M1 '[g']]]-Tabla1[[#This Row],[M4 '[g']  PESO CRISOL + CENIZAS]])</f>
        <v/>
      </c>
      <c r="L148" s="407" t="str">
        <f>IF(ISNUMBER(Tabla1[[#This Row],[%FIBRA TOTAL]]),Tabla1[[#This Row],[%FIBRA TOTAL]]*(100-Tabla1[[#This Row],[%Grasa y/o % humedad En la Muestra g/100g]])/100,"")</f>
        <v/>
      </c>
      <c r="M148" s="393"/>
      <c r="N148" s="399"/>
      <c r="O148" s="411"/>
      <c r="P148" s="412"/>
      <c r="Q148" s="413"/>
      <c r="R148" s="413"/>
    </row>
    <row r="149" spans="1:18" ht="15.75" customHeight="1" x14ac:dyDescent="0.3">
      <c r="A149" s="397"/>
      <c r="B149" s="398"/>
      <c r="C149" s="399"/>
      <c r="D149" s="399"/>
      <c r="E149" s="399"/>
      <c r="F149" s="399"/>
      <c r="G149" s="400"/>
      <c r="H149" s="400"/>
      <c r="I149" s="400"/>
      <c r="J149" s="406" t="str">
        <f>IF(OR(ISBLANK(Tabla1[[#This Row],[M3 '[g'] PESO CRISOL+MUESTRA (SECA)]]),ISBLANK(Tabla1[[#This Row],[M1 '[g']]]),ISBLANK(Tabla1[[#This Row],[M4 '[g']  PESO CRISOL + CENIZAS]]),ISBLANK(Tabla1[[#This Row],[M5]])),"",Tabla1[[#This Row],[M3 '[g'] PESO CRISOL+MUESTRA (SECA)]]-Tabla1[[#This Row],[M1 '[g']]]-Tabla1[[#This Row],[M4 '[g']  PESO CRISOL + CENIZAS]]-Tabla1[[#This Row],[M5]])</f>
        <v/>
      </c>
      <c r="K149" s="407" t="str">
        <f>IF(OR(ISBLANK(Tabla1[[#This Row],[M3 '[g'] PESO CRISOL+MUESTRA (SECA)]]),ISBLANK(Tabla1[[#This Row],[M1 '[g']]]),ISBLANK(Tabla1[[#This Row],[M4 '[g']  PESO CRISOL + CENIZAS]])),"",Tabla1[[#This Row],[M3 '[g'] PESO CRISOL+MUESTRA (SECA)]]-Tabla1[[#This Row],[M1 '[g']]]-Tabla1[[#This Row],[M4 '[g']  PESO CRISOL + CENIZAS]])</f>
        <v/>
      </c>
      <c r="L149" s="407" t="str">
        <f>IF(ISNUMBER(Tabla1[[#This Row],[%FIBRA TOTAL]]),Tabla1[[#This Row],[%FIBRA TOTAL]]*(100-Tabla1[[#This Row],[%Grasa y/o % humedad En la Muestra g/100g]])/100,"")</f>
        <v/>
      </c>
      <c r="M149" s="393"/>
      <c r="N149" s="399"/>
      <c r="O149" s="411"/>
      <c r="P149" s="412"/>
      <c r="Q149" s="413"/>
      <c r="R149" s="413"/>
    </row>
    <row r="150" spans="1:18" ht="15.75" customHeight="1" x14ac:dyDescent="0.3">
      <c r="A150" s="397"/>
      <c r="B150" s="398"/>
      <c r="C150" s="399"/>
      <c r="D150" s="399"/>
      <c r="E150" s="399"/>
      <c r="F150" s="399"/>
      <c r="G150" s="400"/>
      <c r="H150" s="400"/>
      <c r="I150" s="400"/>
      <c r="J150" s="406" t="str">
        <f>IF(OR(ISBLANK(Tabla1[[#This Row],[M3 '[g'] PESO CRISOL+MUESTRA (SECA)]]),ISBLANK(Tabla1[[#This Row],[M1 '[g']]]),ISBLANK(Tabla1[[#This Row],[M4 '[g']  PESO CRISOL + CENIZAS]]),ISBLANK(Tabla1[[#This Row],[M5]])),"",Tabla1[[#This Row],[M3 '[g'] PESO CRISOL+MUESTRA (SECA)]]-Tabla1[[#This Row],[M1 '[g']]]-Tabla1[[#This Row],[M4 '[g']  PESO CRISOL + CENIZAS]]-Tabla1[[#This Row],[M5]])</f>
        <v/>
      </c>
      <c r="K150" s="407" t="str">
        <f>IF(OR(ISBLANK(Tabla1[[#This Row],[M3 '[g'] PESO CRISOL+MUESTRA (SECA)]]),ISBLANK(Tabla1[[#This Row],[M1 '[g']]]),ISBLANK(Tabla1[[#This Row],[M4 '[g']  PESO CRISOL + CENIZAS]])),"",Tabla1[[#This Row],[M3 '[g'] PESO CRISOL+MUESTRA (SECA)]]-Tabla1[[#This Row],[M1 '[g']]]-Tabla1[[#This Row],[M4 '[g']  PESO CRISOL + CENIZAS]])</f>
        <v/>
      </c>
      <c r="L150" s="407" t="str">
        <f>IF(ISNUMBER(Tabla1[[#This Row],[%FIBRA TOTAL]]),Tabla1[[#This Row],[%FIBRA TOTAL]]*(100-Tabla1[[#This Row],[%Grasa y/o % humedad En la Muestra g/100g]])/100,"")</f>
        <v/>
      </c>
      <c r="M150" s="393"/>
      <c r="N150" s="399"/>
      <c r="O150" s="411"/>
      <c r="P150" s="412"/>
      <c r="Q150" s="413"/>
      <c r="R150" s="413"/>
    </row>
    <row r="151" spans="1:18" ht="15.75" customHeight="1" x14ac:dyDescent="0.3">
      <c r="A151" s="397"/>
      <c r="B151" s="398"/>
      <c r="C151" s="399"/>
      <c r="D151" s="399"/>
      <c r="E151" s="399"/>
      <c r="F151" s="399"/>
      <c r="G151" s="400"/>
      <c r="H151" s="400"/>
      <c r="I151" s="400"/>
      <c r="J151" s="406" t="str">
        <f>IF(OR(ISBLANK(Tabla1[[#This Row],[M3 '[g'] PESO CRISOL+MUESTRA (SECA)]]),ISBLANK(Tabla1[[#This Row],[M1 '[g']]]),ISBLANK(Tabla1[[#This Row],[M4 '[g']  PESO CRISOL + CENIZAS]]),ISBLANK(Tabla1[[#This Row],[M5]])),"",Tabla1[[#This Row],[M3 '[g'] PESO CRISOL+MUESTRA (SECA)]]-Tabla1[[#This Row],[M1 '[g']]]-Tabla1[[#This Row],[M4 '[g']  PESO CRISOL + CENIZAS]]-Tabla1[[#This Row],[M5]])</f>
        <v/>
      </c>
      <c r="K151" s="407" t="str">
        <f>IF(OR(ISBLANK(Tabla1[[#This Row],[M3 '[g'] PESO CRISOL+MUESTRA (SECA)]]),ISBLANK(Tabla1[[#This Row],[M1 '[g']]]),ISBLANK(Tabla1[[#This Row],[M4 '[g']  PESO CRISOL + CENIZAS]])),"",Tabla1[[#This Row],[M3 '[g'] PESO CRISOL+MUESTRA (SECA)]]-Tabla1[[#This Row],[M1 '[g']]]-Tabla1[[#This Row],[M4 '[g']  PESO CRISOL + CENIZAS]])</f>
        <v/>
      </c>
      <c r="L151" s="407" t="str">
        <f>IF(ISNUMBER(Tabla1[[#This Row],[%FIBRA TOTAL]]),Tabla1[[#This Row],[%FIBRA TOTAL]]*(100-Tabla1[[#This Row],[%Grasa y/o % humedad En la Muestra g/100g]])/100,"")</f>
        <v/>
      </c>
      <c r="M151" s="393"/>
      <c r="N151" s="399"/>
      <c r="O151" s="411"/>
      <c r="P151" s="412"/>
      <c r="Q151" s="413"/>
      <c r="R151" s="413"/>
    </row>
    <row r="152" spans="1:18" ht="15.75" customHeight="1" x14ac:dyDescent="0.3">
      <c r="A152" s="397"/>
      <c r="B152" s="398"/>
      <c r="C152" s="399"/>
      <c r="D152" s="399"/>
      <c r="E152" s="399"/>
      <c r="F152" s="399"/>
      <c r="G152" s="400"/>
      <c r="H152" s="400"/>
      <c r="I152" s="400"/>
      <c r="J152" s="406" t="str">
        <f>IF(OR(ISBLANK(Tabla1[[#This Row],[M3 '[g'] PESO CRISOL+MUESTRA (SECA)]]),ISBLANK(Tabla1[[#This Row],[M1 '[g']]]),ISBLANK(Tabla1[[#This Row],[M4 '[g']  PESO CRISOL + CENIZAS]]),ISBLANK(Tabla1[[#This Row],[M5]])),"",Tabla1[[#This Row],[M3 '[g'] PESO CRISOL+MUESTRA (SECA)]]-Tabla1[[#This Row],[M1 '[g']]]-Tabla1[[#This Row],[M4 '[g']  PESO CRISOL + CENIZAS]]-Tabla1[[#This Row],[M5]])</f>
        <v/>
      </c>
      <c r="K152" s="407" t="str">
        <f>IF(OR(ISBLANK(Tabla1[[#This Row],[M3 '[g'] PESO CRISOL+MUESTRA (SECA)]]),ISBLANK(Tabla1[[#This Row],[M1 '[g']]]),ISBLANK(Tabla1[[#This Row],[M4 '[g']  PESO CRISOL + CENIZAS]])),"",Tabla1[[#This Row],[M3 '[g'] PESO CRISOL+MUESTRA (SECA)]]-Tabla1[[#This Row],[M1 '[g']]]-Tabla1[[#This Row],[M4 '[g']  PESO CRISOL + CENIZAS]])</f>
        <v/>
      </c>
      <c r="L152" s="407" t="str">
        <f>IF(ISNUMBER(Tabla1[[#This Row],[%FIBRA TOTAL]]),Tabla1[[#This Row],[%FIBRA TOTAL]]*(100-Tabla1[[#This Row],[%Grasa y/o % humedad En la Muestra g/100g]])/100,"")</f>
        <v/>
      </c>
      <c r="M152" s="393"/>
      <c r="N152" s="399"/>
      <c r="O152" s="411"/>
      <c r="P152" s="412"/>
      <c r="Q152" s="413"/>
      <c r="R152" s="413"/>
    </row>
    <row r="153" spans="1:18" ht="15.75" customHeight="1" x14ac:dyDescent="0.3">
      <c r="A153" s="397"/>
      <c r="B153" s="398"/>
      <c r="C153" s="399"/>
      <c r="D153" s="399"/>
      <c r="E153" s="399"/>
      <c r="F153" s="399"/>
      <c r="G153" s="400"/>
      <c r="H153" s="400"/>
      <c r="I153" s="400"/>
      <c r="J153" s="406" t="str">
        <f>IF(OR(ISBLANK(Tabla1[[#This Row],[M3 '[g'] PESO CRISOL+MUESTRA (SECA)]]),ISBLANK(Tabla1[[#This Row],[M1 '[g']]]),ISBLANK(Tabla1[[#This Row],[M4 '[g']  PESO CRISOL + CENIZAS]]),ISBLANK(Tabla1[[#This Row],[M5]])),"",Tabla1[[#This Row],[M3 '[g'] PESO CRISOL+MUESTRA (SECA)]]-Tabla1[[#This Row],[M1 '[g']]]-Tabla1[[#This Row],[M4 '[g']  PESO CRISOL + CENIZAS]]-Tabla1[[#This Row],[M5]])</f>
        <v/>
      </c>
      <c r="K153" s="407" t="str">
        <f>IF(OR(ISBLANK(Tabla1[[#This Row],[M3 '[g'] PESO CRISOL+MUESTRA (SECA)]]),ISBLANK(Tabla1[[#This Row],[M1 '[g']]]),ISBLANK(Tabla1[[#This Row],[M4 '[g']  PESO CRISOL + CENIZAS]])),"",Tabla1[[#This Row],[M3 '[g'] PESO CRISOL+MUESTRA (SECA)]]-Tabla1[[#This Row],[M1 '[g']]]-Tabla1[[#This Row],[M4 '[g']  PESO CRISOL + CENIZAS]])</f>
        <v/>
      </c>
      <c r="L153" s="407" t="str">
        <f>IF(ISNUMBER(Tabla1[[#This Row],[%FIBRA TOTAL]]),Tabla1[[#This Row],[%FIBRA TOTAL]]*(100-Tabla1[[#This Row],[%Grasa y/o % humedad En la Muestra g/100g]])/100,"")</f>
        <v/>
      </c>
      <c r="M153" s="393"/>
      <c r="N153" s="399"/>
      <c r="O153" s="411"/>
      <c r="P153" s="412"/>
      <c r="Q153" s="413"/>
      <c r="R153" s="413"/>
    </row>
    <row r="154" spans="1:18" ht="15.75" customHeight="1" x14ac:dyDescent="0.3">
      <c r="A154" s="397"/>
      <c r="B154" s="398"/>
      <c r="C154" s="399"/>
      <c r="D154" s="399"/>
      <c r="E154" s="399"/>
      <c r="F154" s="399"/>
      <c r="G154" s="400"/>
      <c r="H154" s="400"/>
      <c r="I154" s="400"/>
      <c r="J154" s="406" t="str">
        <f>IF(OR(ISBLANK(Tabla1[[#This Row],[M3 '[g'] PESO CRISOL+MUESTRA (SECA)]]),ISBLANK(Tabla1[[#This Row],[M1 '[g']]]),ISBLANK(Tabla1[[#This Row],[M4 '[g']  PESO CRISOL + CENIZAS]]),ISBLANK(Tabla1[[#This Row],[M5]])),"",Tabla1[[#This Row],[M3 '[g'] PESO CRISOL+MUESTRA (SECA)]]-Tabla1[[#This Row],[M1 '[g']]]-Tabla1[[#This Row],[M4 '[g']  PESO CRISOL + CENIZAS]]-Tabla1[[#This Row],[M5]])</f>
        <v/>
      </c>
      <c r="K154" s="407" t="str">
        <f>IF(OR(ISBLANK(Tabla1[[#This Row],[M3 '[g'] PESO CRISOL+MUESTRA (SECA)]]),ISBLANK(Tabla1[[#This Row],[M1 '[g']]]),ISBLANK(Tabla1[[#This Row],[M4 '[g']  PESO CRISOL + CENIZAS]])),"",Tabla1[[#This Row],[M3 '[g'] PESO CRISOL+MUESTRA (SECA)]]-Tabla1[[#This Row],[M1 '[g']]]-Tabla1[[#This Row],[M4 '[g']  PESO CRISOL + CENIZAS]])</f>
        <v/>
      </c>
      <c r="L154" s="407" t="str">
        <f>IF(ISNUMBER(Tabla1[[#This Row],[%FIBRA TOTAL]]),Tabla1[[#This Row],[%FIBRA TOTAL]]*(100-Tabla1[[#This Row],[%Grasa y/o % humedad En la Muestra g/100g]])/100,"")</f>
        <v/>
      </c>
      <c r="M154" s="393"/>
      <c r="N154" s="399"/>
      <c r="O154" s="411"/>
      <c r="P154" s="412"/>
      <c r="Q154" s="413"/>
      <c r="R154" s="413"/>
    </row>
    <row r="155" spans="1:18" ht="15.75" customHeight="1" x14ac:dyDescent="0.3">
      <c r="A155" s="397"/>
      <c r="B155" s="398"/>
      <c r="C155" s="399"/>
      <c r="D155" s="399"/>
      <c r="E155" s="399"/>
      <c r="F155" s="399"/>
      <c r="G155" s="400"/>
      <c r="H155" s="400"/>
      <c r="I155" s="400"/>
      <c r="J155" s="406" t="str">
        <f>IF(OR(ISBLANK(Tabla1[[#This Row],[M3 '[g'] PESO CRISOL+MUESTRA (SECA)]]),ISBLANK(Tabla1[[#This Row],[M1 '[g']]]),ISBLANK(Tabla1[[#This Row],[M4 '[g']  PESO CRISOL + CENIZAS]]),ISBLANK(Tabla1[[#This Row],[M5]])),"",Tabla1[[#This Row],[M3 '[g'] PESO CRISOL+MUESTRA (SECA)]]-Tabla1[[#This Row],[M1 '[g']]]-Tabla1[[#This Row],[M4 '[g']  PESO CRISOL + CENIZAS]]-Tabla1[[#This Row],[M5]])</f>
        <v/>
      </c>
      <c r="K155" s="407" t="str">
        <f>IF(OR(ISBLANK(Tabla1[[#This Row],[M3 '[g'] PESO CRISOL+MUESTRA (SECA)]]),ISBLANK(Tabla1[[#This Row],[M1 '[g']]]),ISBLANK(Tabla1[[#This Row],[M4 '[g']  PESO CRISOL + CENIZAS]])),"",Tabla1[[#This Row],[M3 '[g'] PESO CRISOL+MUESTRA (SECA)]]-Tabla1[[#This Row],[M1 '[g']]]-Tabla1[[#This Row],[M4 '[g']  PESO CRISOL + CENIZAS]])</f>
        <v/>
      </c>
      <c r="L155" s="407" t="str">
        <f>IF(ISNUMBER(Tabla1[[#This Row],[%FIBRA TOTAL]]),Tabla1[[#This Row],[%FIBRA TOTAL]]*(100-Tabla1[[#This Row],[%Grasa y/o % humedad En la Muestra g/100g]])/100,"")</f>
        <v/>
      </c>
      <c r="M155" s="393"/>
      <c r="N155" s="399"/>
      <c r="O155" s="411"/>
      <c r="P155" s="412"/>
      <c r="Q155" s="413"/>
      <c r="R155" s="413"/>
    </row>
    <row r="156" spans="1:18" ht="15.75" customHeight="1" x14ac:dyDescent="0.3">
      <c r="A156" s="397"/>
      <c r="B156" s="398"/>
      <c r="C156" s="399"/>
      <c r="D156" s="399"/>
      <c r="E156" s="399"/>
      <c r="F156" s="399"/>
      <c r="G156" s="400"/>
      <c r="H156" s="400"/>
      <c r="I156" s="400"/>
      <c r="J156" s="406" t="str">
        <f>IF(OR(ISBLANK(Tabla1[[#This Row],[M3 '[g'] PESO CRISOL+MUESTRA (SECA)]]),ISBLANK(Tabla1[[#This Row],[M1 '[g']]]),ISBLANK(Tabla1[[#This Row],[M4 '[g']  PESO CRISOL + CENIZAS]]),ISBLANK(Tabla1[[#This Row],[M5]])),"",Tabla1[[#This Row],[M3 '[g'] PESO CRISOL+MUESTRA (SECA)]]-Tabla1[[#This Row],[M1 '[g']]]-Tabla1[[#This Row],[M4 '[g']  PESO CRISOL + CENIZAS]]-Tabla1[[#This Row],[M5]])</f>
        <v/>
      </c>
      <c r="K156" s="407" t="str">
        <f>IF(OR(ISBLANK(Tabla1[[#This Row],[M3 '[g'] PESO CRISOL+MUESTRA (SECA)]]),ISBLANK(Tabla1[[#This Row],[M1 '[g']]]),ISBLANK(Tabla1[[#This Row],[M4 '[g']  PESO CRISOL + CENIZAS]])),"",Tabla1[[#This Row],[M3 '[g'] PESO CRISOL+MUESTRA (SECA)]]-Tabla1[[#This Row],[M1 '[g']]]-Tabla1[[#This Row],[M4 '[g']  PESO CRISOL + CENIZAS]])</f>
        <v/>
      </c>
      <c r="L156" s="407" t="str">
        <f>IF(ISNUMBER(Tabla1[[#This Row],[%FIBRA TOTAL]]),Tabla1[[#This Row],[%FIBRA TOTAL]]*(100-Tabla1[[#This Row],[%Grasa y/o % humedad En la Muestra g/100g]])/100,"")</f>
        <v/>
      </c>
      <c r="M156" s="393"/>
      <c r="N156" s="399"/>
      <c r="O156" s="411"/>
      <c r="P156" s="412"/>
      <c r="Q156" s="413"/>
      <c r="R156" s="413"/>
    </row>
    <row r="157" spans="1:18" ht="15.75" customHeight="1" x14ac:dyDescent="0.3">
      <c r="A157" s="397"/>
      <c r="B157" s="398"/>
      <c r="C157" s="399"/>
      <c r="D157" s="399"/>
      <c r="E157" s="399"/>
      <c r="F157" s="399"/>
      <c r="G157" s="400"/>
      <c r="H157" s="400"/>
      <c r="I157" s="400"/>
      <c r="J157" s="406" t="str">
        <f>IF(OR(ISBLANK(Tabla1[[#This Row],[M3 '[g'] PESO CRISOL+MUESTRA (SECA)]]),ISBLANK(Tabla1[[#This Row],[M1 '[g']]]),ISBLANK(Tabla1[[#This Row],[M4 '[g']  PESO CRISOL + CENIZAS]]),ISBLANK(Tabla1[[#This Row],[M5]])),"",Tabla1[[#This Row],[M3 '[g'] PESO CRISOL+MUESTRA (SECA)]]-Tabla1[[#This Row],[M1 '[g']]]-Tabla1[[#This Row],[M4 '[g']  PESO CRISOL + CENIZAS]]-Tabla1[[#This Row],[M5]])</f>
        <v/>
      </c>
      <c r="K157" s="407" t="str">
        <f>IF(OR(ISBLANK(Tabla1[[#This Row],[M3 '[g'] PESO CRISOL+MUESTRA (SECA)]]),ISBLANK(Tabla1[[#This Row],[M1 '[g']]]),ISBLANK(Tabla1[[#This Row],[M4 '[g']  PESO CRISOL + CENIZAS]])),"",Tabla1[[#This Row],[M3 '[g'] PESO CRISOL+MUESTRA (SECA)]]-Tabla1[[#This Row],[M1 '[g']]]-Tabla1[[#This Row],[M4 '[g']  PESO CRISOL + CENIZAS]])</f>
        <v/>
      </c>
      <c r="L157" s="407" t="str">
        <f>IF(ISNUMBER(Tabla1[[#This Row],[%FIBRA TOTAL]]),Tabla1[[#This Row],[%FIBRA TOTAL]]*(100-Tabla1[[#This Row],[%Grasa y/o % humedad En la Muestra g/100g]])/100,"")</f>
        <v/>
      </c>
      <c r="M157" s="393"/>
      <c r="N157" s="399"/>
      <c r="O157" s="411"/>
      <c r="P157" s="412"/>
      <c r="Q157" s="413"/>
      <c r="R157" s="413"/>
    </row>
    <row r="158" spans="1:18" ht="15.75" customHeight="1" x14ac:dyDescent="0.3">
      <c r="A158" s="397"/>
      <c r="B158" s="398"/>
      <c r="C158" s="399"/>
      <c r="D158" s="399"/>
      <c r="E158" s="399"/>
      <c r="F158" s="399"/>
      <c r="G158" s="400"/>
      <c r="H158" s="400"/>
      <c r="I158" s="400"/>
      <c r="J158" s="406" t="str">
        <f>IF(OR(ISBLANK(Tabla1[[#This Row],[M3 '[g'] PESO CRISOL+MUESTRA (SECA)]]),ISBLANK(Tabla1[[#This Row],[M1 '[g']]]),ISBLANK(Tabla1[[#This Row],[M4 '[g']  PESO CRISOL + CENIZAS]]),ISBLANK(Tabla1[[#This Row],[M5]])),"",Tabla1[[#This Row],[M3 '[g'] PESO CRISOL+MUESTRA (SECA)]]-Tabla1[[#This Row],[M1 '[g']]]-Tabla1[[#This Row],[M4 '[g']  PESO CRISOL + CENIZAS]]-Tabla1[[#This Row],[M5]])</f>
        <v/>
      </c>
      <c r="K158" s="407" t="str">
        <f>IF(OR(ISBLANK(Tabla1[[#This Row],[M3 '[g'] PESO CRISOL+MUESTRA (SECA)]]),ISBLANK(Tabla1[[#This Row],[M1 '[g']]]),ISBLANK(Tabla1[[#This Row],[M4 '[g']  PESO CRISOL + CENIZAS]])),"",Tabla1[[#This Row],[M3 '[g'] PESO CRISOL+MUESTRA (SECA)]]-Tabla1[[#This Row],[M1 '[g']]]-Tabla1[[#This Row],[M4 '[g']  PESO CRISOL + CENIZAS]])</f>
        <v/>
      </c>
      <c r="L158" s="407" t="str">
        <f>IF(ISNUMBER(Tabla1[[#This Row],[%FIBRA TOTAL]]),Tabla1[[#This Row],[%FIBRA TOTAL]]*(100-Tabla1[[#This Row],[%Grasa y/o % humedad En la Muestra g/100g]])/100,"")</f>
        <v/>
      </c>
      <c r="M158" s="393"/>
      <c r="N158" s="399"/>
      <c r="O158" s="411"/>
      <c r="P158" s="412"/>
      <c r="Q158" s="413"/>
      <c r="R158" s="413"/>
    </row>
    <row r="159" spans="1:18" ht="15.75" customHeight="1" x14ac:dyDescent="0.3">
      <c r="A159" s="397"/>
      <c r="B159" s="398"/>
      <c r="C159" s="399"/>
      <c r="D159" s="399"/>
      <c r="E159" s="399"/>
      <c r="F159" s="399"/>
      <c r="G159" s="400"/>
      <c r="H159" s="400"/>
      <c r="I159" s="400"/>
      <c r="J159" s="406" t="str">
        <f>IF(OR(ISBLANK(Tabla1[[#This Row],[M3 '[g'] PESO CRISOL+MUESTRA (SECA)]]),ISBLANK(Tabla1[[#This Row],[M1 '[g']]]),ISBLANK(Tabla1[[#This Row],[M4 '[g']  PESO CRISOL + CENIZAS]]),ISBLANK(Tabla1[[#This Row],[M5]])),"",Tabla1[[#This Row],[M3 '[g'] PESO CRISOL+MUESTRA (SECA)]]-Tabla1[[#This Row],[M1 '[g']]]-Tabla1[[#This Row],[M4 '[g']  PESO CRISOL + CENIZAS]]-Tabla1[[#This Row],[M5]])</f>
        <v/>
      </c>
      <c r="K159" s="407" t="str">
        <f>IF(OR(ISBLANK(Tabla1[[#This Row],[M3 '[g'] PESO CRISOL+MUESTRA (SECA)]]),ISBLANK(Tabla1[[#This Row],[M1 '[g']]]),ISBLANK(Tabla1[[#This Row],[M4 '[g']  PESO CRISOL + CENIZAS]])),"",Tabla1[[#This Row],[M3 '[g'] PESO CRISOL+MUESTRA (SECA)]]-Tabla1[[#This Row],[M1 '[g']]]-Tabla1[[#This Row],[M4 '[g']  PESO CRISOL + CENIZAS]])</f>
        <v/>
      </c>
      <c r="L159" s="407" t="str">
        <f>IF(ISNUMBER(Tabla1[[#This Row],[%FIBRA TOTAL]]),Tabla1[[#This Row],[%FIBRA TOTAL]]*(100-Tabla1[[#This Row],[%Grasa y/o % humedad En la Muestra g/100g]])/100,"")</f>
        <v/>
      </c>
      <c r="M159" s="393"/>
      <c r="N159" s="399"/>
      <c r="O159" s="411"/>
      <c r="P159" s="412"/>
      <c r="Q159" s="413"/>
      <c r="R159" s="413"/>
    </row>
    <row r="160" spans="1:18" ht="15.75" customHeight="1" x14ac:dyDescent="0.3">
      <c r="A160" s="397"/>
      <c r="B160" s="398"/>
      <c r="C160" s="399"/>
      <c r="D160" s="399"/>
      <c r="E160" s="399"/>
      <c r="F160" s="399"/>
      <c r="G160" s="400"/>
      <c r="H160" s="400"/>
      <c r="I160" s="400"/>
      <c r="J160" s="406" t="str">
        <f>IF(OR(ISBLANK(Tabla1[[#This Row],[M3 '[g'] PESO CRISOL+MUESTRA (SECA)]]),ISBLANK(Tabla1[[#This Row],[M1 '[g']]]),ISBLANK(Tabla1[[#This Row],[M4 '[g']  PESO CRISOL + CENIZAS]]),ISBLANK(Tabla1[[#This Row],[M5]])),"",Tabla1[[#This Row],[M3 '[g'] PESO CRISOL+MUESTRA (SECA)]]-Tabla1[[#This Row],[M1 '[g']]]-Tabla1[[#This Row],[M4 '[g']  PESO CRISOL + CENIZAS]]-Tabla1[[#This Row],[M5]])</f>
        <v/>
      </c>
      <c r="K160" s="407" t="str">
        <f>IF(OR(ISBLANK(Tabla1[[#This Row],[M3 '[g'] PESO CRISOL+MUESTRA (SECA)]]),ISBLANK(Tabla1[[#This Row],[M1 '[g']]]),ISBLANK(Tabla1[[#This Row],[M4 '[g']  PESO CRISOL + CENIZAS]])),"",Tabla1[[#This Row],[M3 '[g'] PESO CRISOL+MUESTRA (SECA)]]-Tabla1[[#This Row],[M1 '[g']]]-Tabla1[[#This Row],[M4 '[g']  PESO CRISOL + CENIZAS]])</f>
        <v/>
      </c>
      <c r="L160" s="407" t="str">
        <f>IF(ISNUMBER(Tabla1[[#This Row],[%FIBRA TOTAL]]),Tabla1[[#This Row],[%FIBRA TOTAL]]*(100-Tabla1[[#This Row],[%Grasa y/o % humedad En la Muestra g/100g]])/100,"")</f>
        <v/>
      </c>
      <c r="M160" s="393"/>
      <c r="N160" s="399"/>
      <c r="O160" s="411"/>
      <c r="P160" s="412"/>
      <c r="Q160" s="413"/>
      <c r="R160" s="413"/>
    </row>
    <row r="161" spans="1:18" ht="15.75" customHeight="1" x14ac:dyDescent="0.3">
      <c r="A161" s="397"/>
      <c r="B161" s="398"/>
      <c r="C161" s="399"/>
      <c r="D161" s="399"/>
      <c r="E161" s="399"/>
      <c r="F161" s="399"/>
      <c r="G161" s="400"/>
      <c r="H161" s="400"/>
      <c r="I161" s="400"/>
      <c r="J161" s="406" t="str">
        <f>IF(OR(ISBLANK(Tabla1[[#This Row],[M3 '[g'] PESO CRISOL+MUESTRA (SECA)]]),ISBLANK(Tabla1[[#This Row],[M1 '[g']]]),ISBLANK(Tabla1[[#This Row],[M4 '[g']  PESO CRISOL + CENIZAS]]),ISBLANK(Tabla1[[#This Row],[M5]])),"",Tabla1[[#This Row],[M3 '[g'] PESO CRISOL+MUESTRA (SECA)]]-Tabla1[[#This Row],[M1 '[g']]]-Tabla1[[#This Row],[M4 '[g']  PESO CRISOL + CENIZAS]]-Tabla1[[#This Row],[M5]])</f>
        <v/>
      </c>
      <c r="K161" s="407" t="str">
        <f>IF(OR(ISBLANK(Tabla1[[#This Row],[M3 '[g'] PESO CRISOL+MUESTRA (SECA)]]),ISBLANK(Tabla1[[#This Row],[M1 '[g']]]),ISBLANK(Tabla1[[#This Row],[M4 '[g']  PESO CRISOL + CENIZAS]])),"",Tabla1[[#This Row],[M3 '[g'] PESO CRISOL+MUESTRA (SECA)]]-Tabla1[[#This Row],[M1 '[g']]]-Tabla1[[#This Row],[M4 '[g']  PESO CRISOL + CENIZAS]])</f>
        <v/>
      </c>
      <c r="L161" s="407" t="str">
        <f>IF(ISNUMBER(Tabla1[[#This Row],[%FIBRA TOTAL]]),Tabla1[[#This Row],[%FIBRA TOTAL]]*(100-Tabla1[[#This Row],[%Grasa y/o % humedad En la Muestra g/100g]])/100,"")</f>
        <v/>
      </c>
      <c r="M161" s="393"/>
      <c r="N161" s="399"/>
      <c r="O161" s="411"/>
      <c r="P161" s="412"/>
      <c r="Q161" s="413"/>
      <c r="R161" s="413"/>
    </row>
    <row r="162" spans="1:18" ht="15.75" customHeight="1" x14ac:dyDescent="0.3">
      <c r="A162" s="397"/>
      <c r="B162" s="398"/>
      <c r="C162" s="399"/>
      <c r="D162" s="399"/>
      <c r="E162" s="399"/>
      <c r="F162" s="399"/>
      <c r="G162" s="400"/>
      <c r="H162" s="400"/>
      <c r="I162" s="400"/>
      <c r="J162" s="406" t="str">
        <f>IF(OR(ISBLANK(Tabla1[[#This Row],[M3 '[g'] PESO CRISOL+MUESTRA (SECA)]]),ISBLANK(Tabla1[[#This Row],[M1 '[g']]]),ISBLANK(Tabla1[[#This Row],[M4 '[g']  PESO CRISOL + CENIZAS]]),ISBLANK(Tabla1[[#This Row],[M5]])),"",Tabla1[[#This Row],[M3 '[g'] PESO CRISOL+MUESTRA (SECA)]]-Tabla1[[#This Row],[M1 '[g']]]-Tabla1[[#This Row],[M4 '[g']  PESO CRISOL + CENIZAS]]-Tabla1[[#This Row],[M5]])</f>
        <v/>
      </c>
      <c r="K162" s="407" t="str">
        <f>IF(OR(ISBLANK(Tabla1[[#This Row],[M3 '[g'] PESO CRISOL+MUESTRA (SECA)]]),ISBLANK(Tabla1[[#This Row],[M1 '[g']]]),ISBLANK(Tabla1[[#This Row],[M4 '[g']  PESO CRISOL + CENIZAS]])),"",Tabla1[[#This Row],[M3 '[g'] PESO CRISOL+MUESTRA (SECA)]]-Tabla1[[#This Row],[M1 '[g']]]-Tabla1[[#This Row],[M4 '[g']  PESO CRISOL + CENIZAS]])</f>
        <v/>
      </c>
      <c r="L162" s="407" t="str">
        <f>IF(ISNUMBER(Tabla1[[#This Row],[%FIBRA TOTAL]]),Tabla1[[#This Row],[%FIBRA TOTAL]]*(100-Tabla1[[#This Row],[%Grasa y/o % humedad En la Muestra g/100g]])/100,"")</f>
        <v/>
      </c>
      <c r="M162" s="393"/>
      <c r="N162" s="399"/>
      <c r="O162" s="411"/>
      <c r="P162" s="412"/>
      <c r="Q162" s="413"/>
      <c r="R162" s="413"/>
    </row>
    <row r="163" spans="1:18" ht="15.75" customHeight="1" x14ac:dyDescent="0.3">
      <c r="A163" s="397"/>
      <c r="B163" s="398"/>
      <c r="C163" s="399"/>
      <c r="D163" s="399"/>
      <c r="E163" s="399"/>
      <c r="F163" s="399"/>
      <c r="G163" s="400"/>
      <c r="H163" s="400"/>
      <c r="I163" s="400"/>
      <c r="J163" s="406" t="str">
        <f>IF(OR(ISBLANK(Tabla1[[#This Row],[M3 '[g'] PESO CRISOL+MUESTRA (SECA)]]),ISBLANK(Tabla1[[#This Row],[M1 '[g']]]),ISBLANK(Tabla1[[#This Row],[M4 '[g']  PESO CRISOL + CENIZAS]]),ISBLANK(Tabla1[[#This Row],[M5]])),"",Tabla1[[#This Row],[M3 '[g'] PESO CRISOL+MUESTRA (SECA)]]-Tabla1[[#This Row],[M1 '[g']]]-Tabla1[[#This Row],[M4 '[g']  PESO CRISOL + CENIZAS]]-Tabla1[[#This Row],[M5]])</f>
        <v/>
      </c>
      <c r="K163" s="407" t="str">
        <f>IF(OR(ISBLANK(Tabla1[[#This Row],[M3 '[g'] PESO CRISOL+MUESTRA (SECA)]]),ISBLANK(Tabla1[[#This Row],[M1 '[g']]]),ISBLANK(Tabla1[[#This Row],[M4 '[g']  PESO CRISOL + CENIZAS]])),"",Tabla1[[#This Row],[M3 '[g'] PESO CRISOL+MUESTRA (SECA)]]-Tabla1[[#This Row],[M1 '[g']]]-Tabla1[[#This Row],[M4 '[g']  PESO CRISOL + CENIZAS]])</f>
        <v/>
      </c>
      <c r="L163" s="407" t="str">
        <f>IF(ISNUMBER(Tabla1[[#This Row],[%FIBRA TOTAL]]),Tabla1[[#This Row],[%FIBRA TOTAL]]*(100-Tabla1[[#This Row],[%Grasa y/o % humedad En la Muestra g/100g]])/100,"")</f>
        <v/>
      </c>
      <c r="M163" s="393"/>
      <c r="N163" s="399"/>
      <c r="O163" s="411"/>
      <c r="P163" s="412"/>
      <c r="Q163" s="413"/>
      <c r="R163" s="413"/>
    </row>
    <row r="164" spans="1:18" ht="15.75" customHeight="1" x14ac:dyDescent="0.3">
      <c r="A164" s="397"/>
      <c r="B164" s="398"/>
      <c r="C164" s="399"/>
      <c r="D164" s="399"/>
      <c r="E164" s="399"/>
      <c r="F164" s="399"/>
      <c r="G164" s="400"/>
      <c r="H164" s="400"/>
      <c r="I164" s="400"/>
      <c r="J164" s="406" t="str">
        <f>IF(OR(ISBLANK(Tabla1[[#This Row],[M3 '[g'] PESO CRISOL+MUESTRA (SECA)]]),ISBLANK(Tabla1[[#This Row],[M1 '[g']]]),ISBLANK(Tabla1[[#This Row],[M4 '[g']  PESO CRISOL + CENIZAS]]),ISBLANK(Tabla1[[#This Row],[M5]])),"",Tabla1[[#This Row],[M3 '[g'] PESO CRISOL+MUESTRA (SECA)]]-Tabla1[[#This Row],[M1 '[g']]]-Tabla1[[#This Row],[M4 '[g']  PESO CRISOL + CENIZAS]]-Tabla1[[#This Row],[M5]])</f>
        <v/>
      </c>
      <c r="K164" s="407" t="str">
        <f>IF(OR(ISBLANK(Tabla1[[#This Row],[M3 '[g'] PESO CRISOL+MUESTRA (SECA)]]),ISBLANK(Tabla1[[#This Row],[M1 '[g']]]),ISBLANK(Tabla1[[#This Row],[M4 '[g']  PESO CRISOL + CENIZAS]])),"",Tabla1[[#This Row],[M3 '[g'] PESO CRISOL+MUESTRA (SECA)]]-Tabla1[[#This Row],[M1 '[g']]]-Tabla1[[#This Row],[M4 '[g']  PESO CRISOL + CENIZAS]])</f>
        <v/>
      </c>
      <c r="L164" s="407" t="str">
        <f>IF(ISNUMBER(Tabla1[[#This Row],[%FIBRA TOTAL]]),Tabla1[[#This Row],[%FIBRA TOTAL]]*(100-Tabla1[[#This Row],[%Grasa y/o % humedad En la Muestra g/100g]])/100,"")</f>
        <v/>
      </c>
      <c r="M164" s="393"/>
      <c r="N164" s="399"/>
      <c r="O164" s="411"/>
      <c r="P164" s="412"/>
      <c r="Q164" s="413"/>
      <c r="R164" s="413"/>
    </row>
    <row r="165" spans="1:18" ht="15.75" customHeight="1" x14ac:dyDescent="0.3">
      <c r="A165" s="397"/>
      <c r="B165" s="398"/>
      <c r="C165" s="399"/>
      <c r="D165" s="399"/>
      <c r="E165" s="399"/>
      <c r="F165" s="399"/>
      <c r="G165" s="400"/>
      <c r="H165" s="400"/>
      <c r="I165" s="400"/>
      <c r="J165" s="406" t="str">
        <f>IF(OR(ISBLANK(Tabla1[[#This Row],[M3 '[g'] PESO CRISOL+MUESTRA (SECA)]]),ISBLANK(Tabla1[[#This Row],[M1 '[g']]]),ISBLANK(Tabla1[[#This Row],[M4 '[g']  PESO CRISOL + CENIZAS]]),ISBLANK(Tabla1[[#This Row],[M5]])),"",Tabla1[[#This Row],[M3 '[g'] PESO CRISOL+MUESTRA (SECA)]]-Tabla1[[#This Row],[M1 '[g']]]-Tabla1[[#This Row],[M4 '[g']  PESO CRISOL + CENIZAS]]-Tabla1[[#This Row],[M5]])</f>
        <v/>
      </c>
      <c r="K165" s="407" t="str">
        <f>IF(OR(ISBLANK(Tabla1[[#This Row],[M3 '[g'] PESO CRISOL+MUESTRA (SECA)]]),ISBLANK(Tabla1[[#This Row],[M1 '[g']]]),ISBLANK(Tabla1[[#This Row],[M4 '[g']  PESO CRISOL + CENIZAS]])),"",Tabla1[[#This Row],[M3 '[g'] PESO CRISOL+MUESTRA (SECA)]]-Tabla1[[#This Row],[M1 '[g']]]-Tabla1[[#This Row],[M4 '[g']  PESO CRISOL + CENIZAS]])</f>
        <v/>
      </c>
      <c r="L165" s="407" t="str">
        <f>IF(ISNUMBER(Tabla1[[#This Row],[%FIBRA TOTAL]]),Tabla1[[#This Row],[%FIBRA TOTAL]]*(100-Tabla1[[#This Row],[%Grasa y/o % humedad En la Muestra g/100g]])/100,"")</f>
        <v/>
      </c>
      <c r="M165" s="393"/>
      <c r="N165" s="399"/>
      <c r="O165" s="411"/>
      <c r="P165" s="412"/>
      <c r="Q165" s="413"/>
      <c r="R165" s="413"/>
    </row>
    <row r="166" spans="1:18" ht="15.75" customHeight="1" x14ac:dyDescent="0.3">
      <c r="A166" s="397"/>
      <c r="B166" s="398"/>
      <c r="C166" s="399"/>
      <c r="D166" s="399"/>
      <c r="E166" s="399"/>
      <c r="F166" s="399"/>
      <c r="G166" s="400"/>
      <c r="H166" s="400"/>
      <c r="I166" s="400"/>
      <c r="J166" s="406" t="str">
        <f>IF(OR(ISBLANK(Tabla1[[#This Row],[M3 '[g'] PESO CRISOL+MUESTRA (SECA)]]),ISBLANK(Tabla1[[#This Row],[M1 '[g']]]),ISBLANK(Tabla1[[#This Row],[M4 '[g']  PESO CRISOL + CENIZAS]]),ISBLANK(Tabla1[[#This Row],[M5]])),"",Tabla1[[#This Row],[M3 '[g'] PESO CRISOL+MUESTRA (SECA)]]-Tabla1[[#This Row],[M1 '[g']]]-Tabla1[[#This Row],[M4 '[g']  PESO CRISOL + CENIZAS]]-Tabla1[[#This Row],[M5]])</f>
        <v/>
      </c>
      <c r="K166" s="407" t="str">
        <f>IF(OR(ISBLANK(Tabla1[[#This Row],[M3 '[g'] PESO CRISOL+MUESTRA (SECA)]]),ISBLANK(Tabla1[[#This Row],[M1 '[g']]]),ISBLANK(Tabla1[[#This Row],[M4 '[g']  PESO CRISOL + CENIZAS]])),"",Tabla1[[#This Row],[M3 '[g'] PESO CRISOL+MUESTRA (SECA)]]-Tabla1[[#This Row],[M1 '[g']]]-Tabla1[[#This Row],[M4 '[g']  PESO CRISOL + CENIZAS]])</f>
        <v/>
      </c>
      <c r="L166" s="407" t="str">
        <f>IF(ISNUMBER(Tabla1[[#This Row],[%FIBRA TOTAL]]),Tabla1[[#This Row],[%FIBRA TOTAL]]*(100-Tabla1[[#This Row],[%Grasa y/o % humedad En la Muestra g/100g]])/100,"")</f>
        <v/>
      </c>
      <c r="M166" s="393"/>
      <c r="N166" s="399"/>
      <c r="O166" s="411"/>
      <c r="P166" s="412"/>
      <c r="Q166" s="413"/>
      <c r="R166" s="413"/>
    </row>
    <row r="167" spans="1:18" ht="15.75" customHeight="1" x14ac:dyDescent="0.3">
      <c r="A167" s="397"/>
      <c r="B167" s="398"/>
      <c r="C167" s="399"/>
      <c r="D167" s="399"/>
      <c r="E167" s="399"/>
      <c r="F167" s="399"/>
      <c r="G167" s="400"/>
      <c r="H167" s="400"/>
      <c r="I167" s="400"/>
      <c r="J167" s="406" t="str">
        <f>IF(OR(ISBLANK(Tabla1[[#This Row],[M3 '[g'] PESO CRISOL+MUESTRA (SECA)]]),ISBLANK(Tabla1[[#This Row],[M1 '[g']]]),ISBLANK(Tabla1[[#This Row],[M4 '[g']  PESO CRISOL + CENIZAS]]),ISBLANK(Tabla1[[#This Row],[M5]])),"",Tabla1[[#This Row],[M3 '[g'] PESO CRISOL+MUESTRA (SECA)]]-Tabla1[[#This Row],[M1 '[g']]]-Tabla1[[#This Row],[M4 '[g']  PESO CRISOL + CENIZAS]]-Tabla1[[#This Row],[M5]])</f>
        <v/>
      </c>
      <c r="K167" s="407" t="str">
        <f>IF(OR(ISBLANK(Tabla1[[#This Row],[M3 '[g'] PESO CRISOL+MUESTRA (SECA)]]),ISBLANK(Tabla1[[#This Row],[M1 '[g']]]),ISBLANK(Tabla1[[#This Row],[M4 '[g']  PESO CRISOL + CENIZAS]])),"",Tabla1[[#This Row],[M3 '[g'] PESO CRISOL+MUESTRA (SECA)]]-Tabla1[[#This Row],[M1 '[g']]]-Tabla1[[#This Row],[M4 '[g']  PESO CRISOL + CENIZAS]])</f>
        <v/>
      </c>
      <c r="L167" s="407" t="str">
        <f>IF(ISNUMBER(Tabla1[[#This Row],[%FIBRA TOTAL]]),Tabla1[[#This Row],[%FIBRA TOTAL]]*(100-Tabla1[[#This Row],[%Grasa y/o % humedad En la Muestra g/100g]])/100,"")</f>
        <v/>
      </c>
      <c r="M167" s="393"/>
      <c r="N167" s="399"/>
      <c r="O167" s="411"/>
      <c r="P167" s="412"/>
      <c r="Q167" s="413"/>
      <c r="R167" s="413"/>
    </row>
    <row r="168" spans="1:18" ht="15.75" customHeight="1" x14ac:dyDescent="0.3">
      <c r="A168" s="397"/>
      <c r="B168" s="398"/>
      <c r="C168" s="399"/>
      <c r="D168" s="399"/>
      <c r="E168" s="399"/>
      <c r="F168" s="399"/>
      <c r="G168" s="400"/>
      <c r="H168" s="400"/>
      <c r="I168" s="400"/>
      <c r="J168" s="406" t="str">
        <f>IF(OR(ISBLANK(Tabla1[[#This Row],[M3 '[g'] PESO CRISOL+MUESTRA (SECA)]]),ISBLANK(Tabla1[[#This Row],[M1 '[g']]]),ISBLANK(Tabla1[[#This Row],[M4 '[g']  PESO CRISOL + CENIZAS]]),ISBLANK(Tabla1[[#This Row],[M5]])),"",Tabla1[[#This Row],[M3 '[g'] PESO CRISOL+MUESTRA (SECA)]]-Tabla1[[#This Row],[M1 '[g']]]-Tabla1[[#This Row],[M4 '[g']  PESO CRISOL + CENIZAS]]-Tabla1[[#This Row],[M5]])</f>
        <v/>
      </c>
      <c r="K168" s="407" t="str">
        <f>IF(OR(ISBLANK(Tabla1[[#This Row],[M3 '[g'] PESO CRISOL+MUESTRA (SECA)]]),ISBLANK(Tabla1[[#This Row],[M1 '[g']]]),ISBLANK(Tabla1[[#This Row],[M4 '[g']  PESO CRISOL + CENIZAS]])),"",Tabla1[[#This Row],[M3 '[g'] PESO CRISOL+MUESTRA (SECA)]]-Tabla1[[#This Row],[M1 '[g']]]-Tabla1[[#This Row],[M4 '[g']  PESO CRISOL + CENIZAS]])</f>
        <v/>
      </c>
      <c r="L168" s="407" t="str">
        <f>IF(ISNUMBER(Tabla1[[#This Row],[%FIBRA TOTAL]]),Tabla1[[#This Row],[%FIBRA TOTAL]]*(100-Tabla1[[#This Row],[%Grasa y/o % humedad En la Muestra g/100g]])/100,"")</f>
        <v/>
      </c>
      <c r="M168" s="393"/>
      <c r="N168" s="399"/>
      <c r="O168" s="411"/>
      <c r="P168" s="412"/>
      <c r="Q168" s="413"/>
      <c r="R168" s="413"/>
    </row>
    <row r="169" spans="1:18" ht="15.75" customHeight="1" x14ac:dyDescent="0.3">
      <c r="A169" s="397"/>
      <c r="B169" s="398"/>
      <c r="C169" s="399"/>
      <c r="D169" s="399"/>
      <c r="E169" s="399"/>
      <c r="F169" s="399"/>
      <c r="G169" s="400"/>
      <c r="H169" s="400"/>
      <c r="I169" s="400"/>
      <c r="J169" s="406" t="str">
        <f>IF(OR(ISBLANK(Tabla1[[#This Row],[M3 '[g'] PESO CRISOL+MUESTRA (SECA)]]),ISBLANK(Tabla1[[#This Row],[M1 '[g']]]),ISBLANK(Tabla1[[#This Row],[M4 '[g']  PESO CRISOL + CENIZAS]]),ISBLANK(Tabla1[[#This Row],[M5]])),"",Tabla1[[#This Row],[M3 '[g'] PESO CRISOL+MUESTRA (SECA)]]-Tabla1[[#This Row],[M1 '[g']]]-Tabla1[[#This Row],[M4 '[g']  PESO CRISOL + CENIZAS]]-Tabla1[[#This Row],[M5]])</f>
        <v/>
      </c>
      <c r="K169" s="407" t="str">
        <f>IF(OR(ISBLANK(Tabla1[[#This Row],[M3 '[g'] PESO CRISOL+MUESTRA (SECA)]]),ISBLANK(Tabla1[[#This Row],[M1 '[g']]]),ISBLANK(Tabla1[[#This Row],[M4 '[g']  PESO CRISOL + CENIZAS]])),"",Tabla1[[#This Row],[M3 '[g'] PESO CRISOL+MUESTRA (SECA)]]-Tabla1[[#This Row],[M1 '[g']]]-Tabla1[[#This Row],[M4 '[g']  PESO CRISOL + CENIZAS]])</f>
        <v/>
      </c>
      <c r="L169" s="407" t="str">
        <f>IF(ISNUMBER(Tabla1[[#This Row],[%FIBRA TOTAL]]),Tabla1[[#This Row],[%FIBRA TOTAL]]*(100-Tabla1[[#This Row],[%Grasa y/o % humedad En la Muestra g/100g]])/100,"")</f>
        <v/>
      </c>
      <c r="M169" s="393"/>
      <c r="N169" s="399"/>
      <c r="O169" s="411"/>
      <c r="P169" s="412"/>
      <c r="Q169" s="413"/>
      <c r="R169" s="413"/>
    </row>
    <row r="170" spans="1:18" ht="15.75" customHeight="1" x14ac:dyDescent="0.3">
      <c r="A170" s="397"/>
      <c r="B170" s="398"/>
      <c r="C170" s="399"/>
      <c r="D170" s="399"/>
      <c r="E170" s="399"/>
      <c r="F170" s="399"/>
      <c r="G170" s="400"/>
      <c r="H170" s="400"/>
      <c r="I170" s="400"/>
      <c r="J170" s="406" t="str">
        <f>IF(OR(ISBLANK(Tabla1[[#This Row],[M3 '[g'] PESO CRISOL+MUESTRA (SECA)]]),ISBLANK(Tabla1[[#This Row],[M1 '[g']]]),ISBLANK(Tabla1[[#This Row],[M4 '[g']  PESO CRISOL + CENIZAS]]),ISBLANK(Tabla1[[#This Row],[M5]])),"",Tabla1[[#This Row],[M3 '[g'] PESO CRISOL+MUESTRA (SECA)]]-Tabla1[[#This Row],[M1 '[g']]]-Tabla1[[#This Row],[M4 '[g']  PESO CRISOL + CENIZAS]]-Tabla1[[#This Row],[M5]])</f>
        <v/>
      </c>
      <c r="K170" s="407" t="str">
        <f>IF(OR(ISBLANK(Tabla1[[#This Row],[M3 '[g'] PESO CRISOL+MUESTRA (SECA)]]),ISBLANK(Tabla1[[#This Row],[M1 '[g']]]),ISBLANK(Tabla1[[#This Row],[M4 '[g']  PESO CRISOL + CENIZAS]])),"",Tabla1[[#This Row],[M3 '[g'] PESO CRISOL+MUESTRA (SECA)]]-Tabla1[[#This Row],[M1 '[g']]]-Tabla1[[#This Row],[M4 '[g']  PESO CRISOL + CENIZAS]])</f>
        <v/>
      </c>
      <c r="L170" s="407" t="str">
        <f>IF(ISNUMBER(Tabla1[[#This Row],[%FIBRA TOTAL]]),Tabla1[[#This Row],[%FIBRA TOTAL]]*(100-Tabla1[[#This Row],[%Grasa y/o % humedad En la Muestra g/100g]])/100,"")</f>
        <v/>
      </c>
      <c r="M170" s="393"/>
      <c r="N170" s="399"/>
      <c r="O170" s="411"/>
      <c r="P170" s="412"/>
      <c r="Q170" s="413"/>
      <c r="R170" s="413"/>
    </row>
    <row r="171" spans="1:18" ht="15.75" customHeight="1" x14ac:dyDescent="0.3">
      <c r="A171" s="397"/>
      <c r="B171" s="398"/>
      <c r="C171" s="399"/>
      <c r="D171" s="399"/>
      <c r="E171" s="399"/>
      <c r="F171" s="399"/>
      <c r="G171" s="400"/>
      <c r="H171" s="400"/>
      <c r="I171" s="400"/>
      <c r="J171" s="406" t="str">
        <f>IF(OR(ISBLANK(Tabla1[[#This Row],[M3 '[g'] PESO CRISOL+MUESTRA (SECA)]]),ISBLANK(Tabla1[[#This Row],[M1 '[g']]]),ISBLANK(Tabla1[[#This Row],[M4 '[g']  PESO CRISOL + CENIZAS]]),ISBLANK(Tabla1[[#This Row],[M5]])),"",Tabla1[[#This Row],[M3 '[g'] PESO CRISOL+MUESTRA (SECA)]]-Tabla1[[#This Row],[M1 '[g']]]-Tabla1[[#This Row],[M4 '[g']  PESO CRISOL + CENIZAS]]-Tabla1[[#This Row],[M5]])</f>
        <v/>
      </c>
      <c r="K171" s="407" t="str">
        <f>IF(OR(ISBLANK(Tabla1[[#This Row],[M3 '[g'] PESO CRISOL+MUESTRA (SECA)]]),ISBLANK(Tabla1[[#This Row],[M1 '[g']]]),ISBLANK(Tabla1[[#This Row],[M4 '[g']  PESO CRISOL + CENIZAS]])),"",Tabla1[[#This Row],[M3 '[g'] PESO CRISOL+MUESTRA (SECA)]]-Tabla1[[#This Row],[M1 '[g']]]-Tabla1[[#This Row],[M4 '[g']  PESO CRISOL + CENIZAS]])</f>
        <v/>
      </c>
      <c r="L171" s="407" t="str">
        <f>IF(ISNUMBER(Tabla1[[#This Row],[%FIBRA TOTAL]]),Tabla1[[#This Row],[%FIBRA TOTAL]]*(100-Tabla1[[#This Row],[%Grasa y/o % humedad En la Muestra g/100g]])/100,"")</f>
        <v/>
      </c>
      <c r="M171" s="393"/>
      <c r="N171" s="399"/>
      <c r="O171" s="411"/>
      <c r="P171" s="412"/>
      <c r="Q171" s="413"/>
      <c r="R171" s="413"/>
    </row>
    <row r="172" spans="1:18" ht="15.75" customHeight="1" x14ac:dyDescent="0.3">
      <c r="A172" s="397"/>
      <c r="B172" s="398"/>
      <c r="C172" s="399"/>
      <c r="D172" s="399"/>
      <c r="E172" s="399"/>
      <c r="F172" s="399"/>
      <c r="G172" s="400"/>
      <c r="H172" s="400"/>
      <c r="I172" s="400"/>
      <c r="J172" s="406" t="str">
        <f>IF(OR(ISBLANK(Tabla1[[#This Row],[M3 '[g'] PESO CRISOL+MUESTRA (SECA)]]),ISBLANK(Tabla1[[#This Row],[M1 '[g']]]),ISBLANK(Tabla1[[#This Row],[M4 '[g']  PESO CRISOL + CENIZAS]]),ISBLANK(Tabla1[[#This Row],[M5]])),"",Tabla1[[#This Row],[M3 '[g'] PESO CRISOL+MUESTRA (SECA)]]-Tabla1[[#This Row],[M1 '[g']]]-Tabla1[[#This Row],[M4 '[g']  PESO CRISOL + CENIZAS]]-Tabla1[[#This Row],[M5]])</f>
        <v/>
      </c>
      <c r="K172" s="407" t="str">
        <f>IF(OR(ISBLANK(Tabla1[[#This Row],[M3 '[g'] PESO CRISOL+MUESTRA (SECA)]]),ISBLANK(Tabla1[[#This Row],[M1 '[g']]]),ISBLANK(Tabla1[[#This Row],[M4 '[g']  PESO CRISOL + CENIZAS]])),"",Tabla1[[#This Row],[M3 '[g'] PESO CRISOL+MUESTRA (SECA)]]-Tabla1[[#This Row],[M1 '[g']]]-Tabla1[[#This Row],[M4 '[g']  PESO CRISOL + CENIZAS]])</f>
        <v/>
      </c>
      <c r="L172" s="407" t="str">
        <f>IF(ISNUMBER(Tabla1[[#This Row],[%FIBRA TOTAL]]),Tabla1[[#This Row],[%FIBRA TOTAL]]*(100-Tabla1[[#This Row],[%Grasa y/o % humedad En la Muestra g/100g]])/100,"")</f>
        <v/>
      </c>
      <c r="M172" s="393"/>
      <c r="N172" s="399"/>
      <c r="O172" s="411"/>
      <c r="P172" s="412"/>
      <c r="Q172" s="413"/>
      <c r="R172" s="413"/>
    </row>
    <row r="173" spans="1:18" ht="15.75" customHeight="1" x14ac:dyDescent="0.3">
      <c r="A173" s="397"/>
      <c r="B173" s="398"/>
      <c r="C173" s="399"/>
      <c r="D173" s="399"/>
      <c r="E173" s="399"/>
      <c r="F173" s="399"/>
      <c r="G173" s="400"/>
      <c r="H173" s="400"/>
      <c r="I173" s="400"/>
      <c r="J173" s="406" t="str">
        <f>IF(OR(ISBLANK(Tabla1[[#This Row],[M3 '[g'] PESO CRISOL+MUESTRA (SECA)]]),ISBLANK(Tabla1[[#This Row],[M1 '[g']]]),ISBLANK(Tabla1[[#This Row],[M4 '[g']  PESO CRISOL + CENIZAS]]),ISBLANK(Tabla1[[#This Row],[M5]])),"",Tabla1[[#This Row],[M3 '[g'] PESO CRISOL+MUESTRA (SECA)]]-Tabla1[[#This Row],[M1 '[g']]]-Tabla1[[#This Row],[M4 '[g']  PESO CRISOL + CENIZAS]]-Tabla1[[#This Row],[M5]])</f>
        <v/>
      </c>
      <c r="K173" s="407" t="str">
        <f>IF(OR(ISBLANK(Tabla1[[#This Row],[M3 '[g'] PESO CRISOL+MUESTRA (SECA)]]),ISBLANK(Tabla1[[#This Row],[M1 '[g']]]),ISBLANK(Tabla1[[#This Row],[M4 '[g']  PESO CRISOL + CENIZAS]])),"",Tabla1[[#This Row],[M3 '[g'] PESO CRISOL+MUESTRA (SECA)]]-Tabla1[[#This Row],[M1 '[g']]]-Tabla1[[#This Row],[M4 '[g']  PESO CRISOL + CENIZAS]])</f>
        <v/>
      </c>
      <c r="L173" s="407" t="str">
        <f>IF(ISNUMBER(Tabla1[[#This Row],[%FIBRA TOTAL]]),Tabla1[[#This Row],[%FIBRA TOTAL]]*(100-Tabla1[[#This Row],[%Grasa y/o % humedad En la Muestra g/100g]])/100,"")</f>
        <v/>
      </c>
      <c r="M173" s="393"/>
      <c r="N173" s="399"/>
      <c r="O173" s="411"/>
      <c r="P173" s="412"/>
      <c r="Q173" s="413"/>
      <c r="R173" s="413"/>
    </row>
    <row r="174" spans="1:18" ht="15.75" customHeight="1" x14ac:dyDescent="0.3">
      <c r="A174" s="397"/>
      <c r="B174" s="398"/>
      <c r="C174" s="399"/>
      <c r="D174" s="399"/>
      <c r="E174" s="399"/>
      <c r="F174" s="399"/>
      <c r="G174" s="400"/>
      <c r="H174" s="400"/>
      <c r="I174" s="400"/>
      <c r="J174" s="406" t="str">
        <f>IF(OR(ISBLANK(Tabla1[[#This Row],[M3 '[g'] PESO CRISOL+MUESTRA (SECA)]]),ISBLANK(Tabla1[[#This Row],[M1 '[g']]]),ISBLANK(Tabla1[[#This Row],[M4 '[g']  PESO CRISOL + CENIZAS]]),ISBLANK(Tabla1[[#This Row],[M5]])),"",Tabla1[[#This Row],[M3 '[g'] PESO CRISOL+MUESTRA (SECA)]]-Tabla1[[#This Row],[M1 '[g']]]-Tabla1[[#This Row],[M4 '[g']  PESO CRISOL + CENIZAS]]-Tabla1[[#This Row],[M5]])</f>
        <v/>
      </c>
      <c r="K174" s="407" t="str">
        <f>IF(OR(ISBLANK(Tabla1[[#This Row],[M3 '[g'] PESO CRISOL+MUESTRA (SECA)]]),ISBLANK(Tabla1[[#This Row],[M1 '[g']]]),ISBLANK(Tabla1[[#This Row],[M4 '[g']  PESO CRISOL + CENIZAS]])),"",Tabla1[[#This Row],[M3 '[g'] PESO CRISOL+MUESTRA (SECA)]]-Tabla1[[#This Row],[M1 '[g']]]-Tabla1[[#This Row],[M4 '[g']  PESO CRISOL + CENIZAS]])</f>
        <v/>
      </c>
      <c r="L174" s="407" t="str">
        <f>IF(ISNUMBER(Tabla1[[#This Row],[%FIBRA TOTAL]]),Tabla1[[#This Row],[%FIBRA TOTAL]]*(100-Tabla1[[#This Row],[%Grasa y/o % humedad En la Muestra g/100g]])/100,"")</f>
        <v/>
      </c>
      <c r="M174" s="393"/>
      <c r="N174" s="399"/>
      <c r="O174" s="411"/>
      <c r="P174" s="412"/>
      <c r="Q174" s="413"/>
      <c r="R174" s="413"/>
    </row>
    <row r="175" spans="1:18" ht="15.75" customHeight="1" x14ac:dyDescent="0.3">
      <c r="A175" s="397"/>
      <c r="B175" s="398"/>
      <c r="C175" s="399"/>
      <c r="D175" s="399"/>
      <c r="E175" s="399"/>
      <c r="F175" s="399"/>
      <c r="G175" s="400"/>
      <c r="H175" s="400"/>
      <c r="I175" s="400"/>
      <c r="J175" s="406" t="str">
        <f>IF(OR(ISBLANK(Tabla1[[#This Row],[M3 '[g'] PESO CRISOL+MUESTRA (SECA)]]),ISBLANK(Tabla1[[#This Row],[M1 '[g']]]),ISBLANK(Tabla1[[#This Row],[M4 '[g']  PESO CRISOL + CENIZAS]]),ISBLANK(Tabla1[[#This Row],[M5]])),"",Tabla1[[#This Row],[M3 '[g'] PESO CRISOL+MUESTRA (SECA)]]-Tabla1[[#This Row],[M1 '[g']]]-Tabla1[[#This Row],[M4 '[g']  PESO CRISOL + CENIZAS]]-Tabla1[[#This Row],[M5]])</f>
        <v/>
      </c>
      <c r="K175" s="407" t="str">
        <f>IF(OR(ISBLANK(Tabla1[[#This Row],[M3 '[g'] PESO CRISOL+MUESTRA (SECA)]]),ISBLANK(Tabla1[[#This Row],[M1 '[g']]]),ISBLANK(Tabla1[[#This Row],[M4 '[g']  PESO CRISOL + CENIZAS]])),"",Tabla1[[#This Row],[M3 '[g'] PESO CRISOL+MUESTRA (SECA)]]-Tabla1[[#This Row],[M1 '[g']]]-Tabla1[[#This Row],[M4 '[g']  PESO CRISOL + CENIZAS]])</f>
        <v/>
      </c>
      <c r="L175" s="407" t="str">
        <f>IF(ISNUMBER(Tabla1[[#This Row],[%FIBRA TOTAL]]),Tabla1[[#This Row],[%FIBRA TOTAL]]*(100-Tabla1[[#This Row],[%Grasa y/o % humedad En la Muestra g/100g]])/100,"")</f>
        <v/>
      </c>
      <c r="M175" s="393"/>
      <c r="N175" s="399"/>
      <c r="O175" s="411"/>
      <c r="P175" s="412"/>
      <c r="Q175" s="413"/>
      <c r="R175" s="413"/>
    </row>
    <row r="176" spans="1:18" ht="15.75" customHeight="1" x14ac:dyDescent="0.3">
      <c r="A176" s="397"/>
      <c r="B176" s="398"/>
      <c r="C176" s="399"/>
      <c r="D176" s="399"/>
      <c r="E176" s="399"/>
      <c r="F176" s="399"/>
      <c r="G176" s="400"/>
      <c r="H176" s="400"/>
      <c r="I176" s="400"/>
      <c r="J176" s="406" t="str">
        <f>IF(OR(ISBLANK(Tabla1[[#This Row],[M3 '[g'] PESO CRISOL+MUESTRA (SECA)]]),ISBLANK(Tabla1[[#This Row],[M1 '[g']]]),ISBLANK(Tabla1[[#This Row],[M4 '[g']  PESO CRISOL + CENIZAS]]),ISBLANK(Tabla1[[#This Row],[M5]])),"",Tabla1[[#This Row],[M3 '[g'] PESO CRISOL+MUESTRA (SECA)]]-Tabla1[[#This Row],[M1 '[g']]]-Tabla1[[#This Row],[M4 '[g']  PESO CRISOL + CENIZAS]]-Tabla1[[#This Row],[M5]])</f>
        <v/>
      </c>
      <c r="K176" s="407" t="str">
        <f>IF(OR(ISBLANK(Tabla1[[#This Row],[M3 '[g'] PESO CRISOL+MUESTRA (SECA)]]),ISBLANK(Tabla1[[#This Row],[M1 '[g']]]),ISBLANK(Tabla1[[#This Row],[M4 '[g']  PESO CRISOL + CENIZAS]])),"",Tabla1[[#This Row],[M3 '[g'] PESO CRISOL+MUESTRA (SECA)]]-Tabla1[[#This Row],[M1 '[g']]]-Tabla1[[#This Row],[M4 '[g']  PESO CRISOL + CENIZAS]])</f>
        <v/>
      </c>
      <c r="L176" s="407" t="str">
        <f>IF(ISNUMBER(Tabla1[[#This Row],[%FIBRA TOTAL]]),Tabla1[[#This Row],[%FIBRA TOTAL]]*(100-Tabla1[[#This Row],[%Grasa y/o % humedad En la Muestra g/100g]])/100,"")</f>
        <v/>
      </c>
      <c r="M176" s="393"/>
      <c r="N176" s="399"/>
      <c r="O176" s="411"/>
      <c r="P176" s="412"/>
      <c r="Q176" s="413"/>
      <c r="R176" s="413"/>
    </row>
    <row r="177" spans="1:18" ht="15.75" customHeight="1" x14ac:dyDescent="0.3">
      <c r="A177" s="397"/>
      <c r="B177" s="398"/>
      <c r="C177" s="399"/>
      <c r="D177" s="399"/>
      <c r="E177" s="399"/>
      <c r="F177" s="399"/>
      <c r="G177" s="400"/>
      <c r="H177" s="400"/>
      <c r="I177" s="400"/>
      <c r="J177" s="406" t="str">
        <f>IF(OR(ISBLANK(Tabla1[[#This Row],[M3 '[g'] PESO CRISOL+MUESTRA (SECA)]]),ISBLANK(Tabla1[[#This Row],[M1 '[g']]]),ISBLANK(Tabla1[[#This Row],[M4 '[g']  PESO CRISOL + CENIZAS]]),ISBLANK(Tabla1[[#This Row],[M5]])),"",Tabla1[[#This Row],[M3 '[g'] PESO CRISOL+MUESTRA (SECA)]]-Tabla1[[#This Row],[M1 '[g']]]-Tabla1[[#This Row],[M4 '[g']  PESO CRISOL + CENIZAS]]-Tabla1[[#This Row],[M5]])</f>
        <v/>
      </c>
      <c r="K177" s="407" t="str">
        <f>IF(OR(ISBLANK(Tabla1[[#This Row],[M3 '[g'] PESO CRISOL+MUESTRA (SECA)]]),ISBLANK(Tabla1[[#This Row],[M1 '[g']]]),ISBLANK(Tabla1[[#This Row],[M4 '[g']  PESO CRISOL + CENIZAS]])),"",Tabla1[[#This Row],[M3 '[g'] PESO CRISOL+MUESTRA (SECA)]]-Tabla1[[#This Row],[M1 '[g']]]-Tabla1[[#This Row],[M4 '[g']  PESO CRISOL + CENIZAS]])</f>
        <v/>
      </c>
      <c r="L177" s="407" t="str">
        <f>IF(ISNUMBER(Tabla1[[#This Row],[%FIBRA TOTAL]]),Tabla1[[#This Row],[%FIBRA TOTAL]]*(100-Tabla1[[#This Row],[%Grasa y/o % humedad En la Muestra g/100g]])/100,"")</f>
        <v/>
      </c>
      <c r="M177" s="393"/>
      <c r="N177" s="399"/>
      <c r="O177" s="411"/>
      <c r="P177" s="412"/>
      <c r="Q177" s="413"/>
      <c r="R177" s="413"/>
    </row>
    <row r="178" spans="1:18" ht="15.75" customHeight="1" x14ac:dyDescent="0.3">
      <c r="A178" s="397"/>
      <c r="B178" s="398"/>
      <c r="C178" s="399"/>
      <c r="D178" s="399"/>
      <c r="E178" s="399"/>
      <c r="F178" s="399"/>
      <c r="G178" s="400"/>
      <c r="H178" s="400"/>
      <c r="I178" s="400"/>
      <c r="J178" s="406" t="str">
        <f>IF(OR(ISBLANK(Tabla1[[#This Row],[M3 '[g'] PESO CRISOL+MUESTRA (SECA)]]),ISBLANK(Tabla1[[#This Row],[M1 '[g']]]),ISBLANK(Tabla1[[#This Row],[M4 '[g']  PESO CRISOL + CENIZAS]]),ISBLANK(Tabla1[[#This Row],[M5]])),"",Tabla1[[#This Row],[M3 '[g'] PESO CRISOL+MUESTRA (SECA)]]-Tabla1[[#This Row],[M1 '[g']]]-Tabla1[[#This Row],[M4 '[g']  PESO CRISOL + CENIZAS]]-Tabla1[[#This Row],[M5]])</f>
        <v/>
      </c>
      <c r="K178" s="407" t="str">
        <f>IF(OR(ISBLANK(Tabla1[[#This Row],[M3 '[g'] PESO CRISOL+MUESTRA (SECA)]]),ISBLANK(Tabla1[[#This Row],[M1 '[g']]]),ISBLANK(Tabla1[[#This Row],[M4 '[g']  PESO CRISOL + CENIZAS]])),"",Tabla1[[#This Row],[M3 '[g'] PESO CRISOL+MUESTRA (SECA)]]-Tabla1[[#This Row],[M1 '[g']]]-Tabla1[[#This Row],[M4 '[g']  PESO CRISOL + CENIZAS]])</f>
        <v/>
      </c>
      <c r="L178" s="407" t="str">
        <f>IF(ISNUMBER(Tabla1[[#This Row],[%FIBRA TOTAL]]),Tabla1[[#This Row],[%FIBRA TOTAL]]*(100-Tabla1[[#This Row],[%Grasa y/o % humedad En la Muestra g/100g]])/100,"")</f>
        <v/>
      </c>
      <c r="M178" s="393"/>
      <c r="N178" s="399"/>
      <c r="O178" s="411"/>
      <c r="P178" s="412"/>
      <c r="Q178" s="413"/>
      <c r="R178" s="413"/>
    </row>
    <row r="179" spans="1:18" ht="15.75" customHeight="1" x14ac:dyDescent="0.3">
      <c r="A179" s="397"/>
      <c r="B179" s="398"/>
      <c r="C179" s="399"/>
      <c r="D179" s="399"/>
      <c r="E179" s="399"/>
      <c r="F179" s="399"/>
      <c r="G179" s="400"/>
      <c r="H179" s="400"/>
      <c r="I179" s="400"/>
      <c r="J179" s="406" t="str">
        <f>IF(OR(ISBLANK(Tabla1[[#This Row],[M3 '[g'] PESO CRISOL+MUESTRA (SECA)]]),ISBLANK(Tabla1[[#This Row],[M1 '[g']]]),ISBLANK(Tabla1[[#This Row],[M4 '[g']  PESO CRISOL + CENIZAS]]),ISBLANK(Tabla1[[#This Row],[M5]])),"",Tabla1[[#This Row],[M3 '[g'] PESO CRISOL+MUESTRA (SECA)]]-Tabla1[[#This Row],[M1 '[g']]]-Tabla1[[#This Row],[M4 '[g']  PESO CRISOL + CENIZAS]]-Tabla1[[#This Row],[M5]])</f>
        <v/>
      </c>
      <c r="K179" s="407" t="str">
        <f>IF(OR(ISBLANK(Tabla1[[#This Row],[M3 '[g'] PESO CRISOL+MUESTRA (SECA)]]),ISBLANK(Tabla1[[#This Row],[M1 '[g']]]),ISBLANK(Tabla1[[#This Row],[M4 '[g']  PESO CRISOL + CENIZAS]])),"",Tabla1[[#This Row],[M3 '[g'] PESO CRISOL+MUESTRA (SECA)]]-Tabla1[[#This Row],[M1 '[g']]]-Tabla1[[#This Row],[M4 '[g']  PESO CRISOL + CENIZAS]])</f>
        <v/>
      </c>
      <c r="L179" s="407" t="str">
        <f>IF(ISNUMBER(Tabla1[[#This Row],[%FIBRA TOTAL]]),Tabla1[[#This Row],[%FIBRA TOTAL]]*(100-Tabla1[[#This Row],[%Grasa y/o % humedad En la Muestra g/100g]])/100,"")</f>
        <v/>
      </c>
      <c r="M179" s="393"/>
      <c r="N179" s="399"/>
      <c r="O179" s="411"/>
      <c r="P179" s="412"/>
      <c r="Q179" s="413"/>
      <c r="R179" s="413"/>
    </row>
    <row r="180" spans="1:18" ht="15.75" customHeight="1" x14ac:dyDescent="0.3">
      <c r="A180" s="397"/>
      <c r="B180" s="398"/>
      <c r="C180" s="399"/>
      <c r="D180" s="399"/>
      <c r="E180" s="399"/>
      <c r="F180" s="399"/>
      <c r="G180" s="400"/>
      <c r="H180" s="400"/>
      <c r="I180" s="400"/>
      <c r="J180" s="406" t="str">
        <f>IF(OR(ISBLANK(Tabla1[[#This Row],[M3 '[g'] PESO CRISOL+MUESTRA (SECA)]]),ISBLANK(Tabla1[[#This Row],[M1 '[g']]]),ISBLANK(Tabla1[[#This Row],[M4 '[g']  PESO CRISOL + CENIZAS]]),ISBLANK(Tabla1[[#This Row],[M5]])),"",Tabla1[[#This Row],[M3 '[g'] PESO CRISOL+MUESTRA (SECA)]]-Tabla1[[#This Row],[M1 '[g']]]-Tabla1[[#This Row],[M4 '[g']  PESO CRISOL + CENIZAS]]-Tabla1[[#This Row],[M5]])</f>
        <v/>
      </c>
      <c r="K180" s="407" t="str">
        <f>IF(OR(ISBLANK(Tabla1[[#This Row],[M3 '[g'] PESO CRISOL+MUESTRA (SECA)]]),ISBLANK(Tabla1[[#This Row],[M1 '[g']]]),ISBLANK(Tabla1[[#This Row],[M4 '[g']  PESO CRISOL + CENIZAS]])),"",Tabla1[[#This Row],[M3 '[g'] PESO CRISOL+MUESTRA (SECA)]]-Tabla1[[#This Row],[M1 '[g']]]-Tabla1[[#This Row],[M4 '[g']  PESO CRISOL + CENIZAS]])</f>
        <v/>
      </c>
      <c r="L180" s="407" t="str">
        <f>IF(ISNUMBER(Tabla1[[#This Row],[%FIBRA TOTAL]]),Tabla1[[#This Row],[%FIBRA TOTAL]]*(100-Tabla1[[#This Row],[%Grasa y/o % humedad En la Muestra g/100g]])/100,"")</f>
        <v/>
      </c>
      <c r="M180" s="393"/>
      <c r="N180" s="399"/>
      <c r="O180" s="411"/>
      <c r="P180" s="412"/>
      <c r="Q180" s="413"/>
      <c r="R180" s="413"/>
    </row>
    <row r="181" spans="1:18" ht="15.75" customHeight="1" x14ac:dyDescent="0.3">
      <c r="A181" s="397"/>
      <c r="B181" s="398"/>
      <c r="C181" s="399"/>
      <c r="D181" s="399"/>
      <c r="E181" s="399"/>
      <c r="F181" s="399"/>
      <c r="G181" s="400"/>
      <c r="H181" s="400"/>
      <c r="I181" s="400"/>
      <c r="J181" s="406" t="str">
        <f>IF(OR(ISBLANK(Tabla1[[#This Row],[M3 '[g'] PESO CRISOL+MUESTRA (SECA)]]),ISBLANK(Tabla1[[#This Row],[M1 '[g']]]),ISBLANK(Tabla1[[#This Row],[M4 '[g']  PESO CRISOL + CENIZAS]]),ISBLANK(Tabla1[[#This Row],[M5]])),"",Tabla1[[#This Row],[M3 '[g'] PESO CRISOL+MUESTRA (SECA)]]-Tabla1[[#This Row],[M1 '[g']]]-Tabla1[[#This Row],[M4 '[g']  PESO CRISOL + CENIZAS]]-Tabla1[[#This Row],[M5]])</f>
        <v/>
      </c>
      <c r="K181" s="407" t="str">
        <f>IF(OR(ISBLANK(Tabla1[[#This Row],[M3 '[g'] PESO CRISOL+MUESTRA (SECA)]]),ISBLANK(Tabla1[[#This Row],[M1 '[g']]]),ISBLANK(Tabla1[[#This Row],[M4 '[g']  PESO CRISOL + CENIZAS]])),"",Tabla1[[#This Row],[M3 '[g'] PESO CRISOL+MUESTRA (SECA)]]-Tabla1[[#This Row],[M1 '[g']]]-Tabla1[[#This Row],[M4 '[g']  PESO CRISOL + CENIZAS]])</f>
        <v/>
      </c>
      <c r="L181" s="407" t="str">
        <f>IF(ISNUMBER(Tabla1[[#This Row],[%FIBRA TOTAL]]),Tabla1[[#This Row],[%FIBRA TOTAL]]*(100-Tabla1[[#This Row],[%Grasa y/o % humedad En la Muestra g/100g]])/100,"")</f>
        <v/>
      </c>
      <c r="M181" s="393"/>
      <c r="N181" s="399"/>
      <c r="O181" s="411"/>
      <c r="P181" s="412"/>
      <c r="Q181" s="413"/>
      <c r="R181" s="413"/>
    </row>
    <row r="182" spans="1:18" ht="15.75" customHeight="1" x14ac:dyDescent="0.3">
      <c r="A182" s="397"/>
      <c r="B182" s="398"/>
      <c r="C182" s="399"/>
      <c r="D182" s="399"/>
      <c r="E182" s="399"/>
      <c r="F182" s="399"/>
      <c r="G182" s="400"/>
      <c r="H182" s="400"/>
      <c r="I182" s="400"/>
      <c r="J182" s="406" t="str">
        <f>IF(OR(ISBLANK(Tabla1[[#This Row],[M3 '[g'] PESO CRISOL+MUESTRA (SECA)]]),ISBLANK(Tabla1[[#This Row],[M1 '[g']]]),ISBLANK(Tabla1[[#This Row],[M4 '[g']  PESO CRISOL + CENIZAS]]),ISBLANK(Tabla1[[#This Row],[M5]])),"",Tabla1[[#This Row],[M3 '[g'] PESO CRISOL+MUESTRA (SECA)]]-Tabla1[[#This Row],[M1 '[g']]]-Tabla1[[#This Row],[M4 '[g']  PESO CRISOL + CENIZAS]]-Tabla1[[#This Row],[M5]])</f>
        <v/>
      </c>
      <c r="K182" s="407" t="str">
        <f>IF(OR(ISBLANK(Tabla1[[#This Row],[M3 '[g'] PESO CRISOL+MUESTRA (SECA)]]),ISBLANK(Tabla1[[#This Row],[M1 '[g']]]),ISBLANK(Tabla1[[#This Row],[M4 '[g']  PESO CRISOL + CENIZAS]])),"",Tabla1[[#This Row],[M3 '[g'] PESO CRISOL+MUESTRA (SECA)]]-Tabla1[[#This Row],[M1 '[g']]]-Tabla1[[#This Row],[M4 '[g']  PESO CRISOL + CENIZAS]])</f>
        <v/>
      </c>
      <c r="L182" s="407" t="str">
        <f>IF(ISNUMBER(Tabla1[[#This Row],[%FIBRA TOTAL]]),Tabla1[[#This Row],[%FIBRA TOTAL]]*(100-Tabla1[[#This Row],[%Grasa y/o % humedad En la Muestra g/100g]])/100,"")</f>
        <v/>
      </c>
      <c r="M182" s="393"/>
      <c r="N182" s="399"/>
      <c r="O182" s="411"/>
      <c r="P182" s="412"/>
      <c r="Q182" s="413"/>
      <c r="R182" s="413"/>
    </row>
    <row r="183" spans="1:18" ht="15.75" customHeight="1" x14ac:dyDescent="0.3">
      <c r="A183" s="397"/>
      <c r="B183" s="398"/>
      <c r="C183" s="399"/>
      <c r="D183" s="399"/>
      <c r="E183" s="399"/>
      <c r="F183" s="399"/>
      <c r="G183" s="400"/>
      <c r="H183" s="400"/>
      <c r="I183" s="400"/>
      <c r="J183" s="406" t="str">
        <f>IF(OR(ISBLANK(Tabla1[[#This Row],[M3 '[g'] PESO CRISOL+MUESTRA (SECA)]]),ISBLANK(Tabla1[[#This Row],[M1 '[g']]]),ISBLANK(Tabla1[[#This Row],[M4 '[g']  PESO CRISOL + CENIZAS]]),ISBLANK(Tabla1[[#This Row],[M5]])),"",Tabla1[[#This Row],[M3 '[g'] PESO CRISOL+MUESTRA (SECA)]]-Tabla1[[#This Row],[M1 '[g']]]-Tabla1[[#This Row],[M4 '[g']  PESO CRISOL + CENIZAS]]-Tabla1[[#This Row],[M5]])</f>
        <v/>
      </c>
      <c r="K183" s="407" t="str">
        <f>IF(OR(ISBLANK(Tabla1[[#This Row],[M3 '[g'] PESO CRISOL+MUESTRA (SECA)]]),ISBLANK(Tabla1[[#This Row],[M1 '[g']]]),ISBLANK(Tabla1[[#This Row],[M4 '[g']  PESO CRISOL + CENIZAS]])),"",Tabla1[[#This Row],[M3 '[g'] PESO CRISOL+MUESTRA (SECA)]]-Tabla1[[#This Row],[M1 '[g']]]-Tabla1[[#This Row],[M4 '[g']  PESO CRISOL + CENIZAS]])</f>
        <v/>
      </c>
      <c r="L183" s="407" t="str">
        <f>IF(ISNUMBER(Tabla1[[#This Row],[%FIBRA TOTAL]]),Tabla1[[#This Row],[%FIBRA TOTAL]]*(100-Tabla1[[#This Row],[%Grasa y/o % humedad En la Muestra g/100g]])/100,"")</f>
        <v/>
      </c>
      <c r="M183" s="393"/>
      <c r="N183" s="399"/>
      <c r="O183" s="411"/>
      <c r="P183" s="412"/>
      <c r="Q183" s="413"/>
      <c r="R183" s="413"/>
    </row>
    <row r="184" spans="1:18" ht="15.75" customHeight="1" x14ac:dyDescent="0.3">
      <c r="A184" s="397"/>
      <c r="B184" s="398"/>
      <c r="C184" s="399"/>
      <c r="D184" s="399"/>
      <c r="E184" s="399"/>
      <c r="F184" s="399"/>
      <c r="G184" s="400"/>
      <c r="H184" s="400"/>
      <c r="I184" s="400"/>
      <c r="J184" s="406" t="str">
        <f>IF(OR(ISBLANK(Tabla1[[#This Row],[M3 '[g'] PESO CRISOL+MUESTRA (SECA)]]),ISBLANK(Tabla1[[#This Row],[M1 '[g']]]),ISBLANK(Tabla1[[#This Row],[M4 '[g']  PESO CRISOL + CENIZAS]]),ISBLANK(Tabla1[[#This Row],[M5]])),"",Tabla1[[#This Row],[M3 '[g'] PESO CRISOL+MUESTRA (SECA)]]-Tabla1[[#This Row],[M1 '[g']]]-Tabla1[[#This Row],[M4 '[g']  PESO CRISOL + CENIZAS]]-Tabla1[[#This Row],[M5]])</f>
        <v/>
      </c>
      <c r="K184" s="407" t="str">
        <f>IF(OR(ISBLANK(Tabla1[[#This Row],[M3 '[g'] PESO CRISOL+MUESTRA (SECA)]]),ISBLANK(Tabla1[[#This Row],[M1 '[g']]]),ISBLANK(Tabla1[[#This Row],[M4 '[g']  PESO CRISOL + CENIZAS]])),"",Tabla1[[#This Row],[M3 '[g'] PESO CRISOL+MUESTRA (SECA)]]-Tabla1[[#This Row],[M1 '[g']]]-Tabla1[[#This Row],[M4 '[g']  PESO CRISOL + CENIZAS]])</f>
        <v/>
      </c>
      <c r="L184" s="407" t="str">
        <f>IF(ISNUMBER(Tabla1[[#This Row],[%FIBRA TOTAL]]),Tabla1[[#This Row],[%FIBRA TOTAL]]*(100-Tabla1[[#This Row],[%Grasa y/o % humedad En la Muestra g/100g]])/100,"")</f>
        <v/>
      </c>
      <c r="M184" s="393"/>
      <c r="N184" s="399"/>
      <c r="O184" s="411"/>
      <c r="P184" s="412"/>
      <c r="Q184" s="413"/>
      <c r="R184" s="413"/>
    </row>
    <row r="185" spans="1:18" ht="15.75" customHeight="1" x14ac:dyDescent="0.3">
      <c r="A185" s="397"/>
      <c r="B185" s="398"/>
      <c r="C185" s="399"/>
      <c r="D185" s="399"/>
      <c r="E185" s="399"/>
      <c r="F185" s="399"/>
      <c r="G185" s="400"/>
      <c r="H185" s="400"/>
      <c r="I185" s="400"/>
      <c r="J185" s="406" t="str">
        <f>IF(OR(ISBLANK(Tabla1[[#This Row],[M3 '[g'] PESO CRISOL+MUESTRA (SECA)]]),ISBLANK(Tabla1[[#This Row],[M1 '[g']]]),ISBLANK(Tabla1[[#This Row],[M4 '[g']  PESO CRISOL + CENIZAS]]),ISBLANK(Tabla1[[#This Row],[M5]])),"",Tabla1[[#This Row],[M3 '[g'] PESO CRISOL+MUESTRA (SECA)]]-Tabla1[[#This Row],[M1 '[g']]]-Tabla1[[#This Row],[M4 '[g']  PESO CRISOL + CENIZAS]]-Tabla1[[#This Row],[M5]])</f>
        <v/>
      </c>
      <c r="K185" s="407" t="str">
        <f>IF(OR(ISBLANK(Tabla1[[#This Row],[M3 '[g'] PESO CRISOL+MUESTRA (SECA)]]),ISBLANK(Tabla1[[#This Row],[M1 '[g']]]),ISBLANK(Tabla1[[#This Row],[M4 '[g']  PESO CRISOL + CENIZAS]])),"",Tabla1[[#This Row],[M3 '[g'] PESO CRISOL+MUESTRA (SECA)]]-Tabla1[[#This Row],[M1 '[g']]]-Tabla1[[#This Row],[M4 '[g']  PESO CRISOL + CENIZAS]])</f>
        <v/>
      </c>
      <c r="L185" s="407" t="str">
        <f>IF(ISNUMBER(Tabla1[[#This Row],[%FIBRA TOTAL]]),Tabla1[[#This Row],[%FIBRA TOTAL]]*(100-Tabla1[[#This Row],[%Grasa y/o % humedad En la Muestra g/100g]])/100,"")</f>
        <v/>
      </c>
      <c r="M185" s="393"/>
      <c r="N185" s="399"/>
      <c r="O185" s="411"/>
      <c r="P185" s="412"/>
      <c r="Q185" s="413"/>
      <c r="R185" s="413"/>
    </row>
    <row r="186" spans="1:18" ht="15.75" customHeight="1" x14ac:dyDescent="0.3">
      <c r="A186" s="397"/>
      <c r="B186" s="398"/>
      <c r="C186" s="399"/>
      <c r="D186" s="399"/>
      <c r="E186" s="399"/>
      <c r="F186" s="399"/>
      <c r="G186" s="400"/>
      <c r="H186" s="400"/>
      <c r="I186" s="400"/>
      <c r="J186" s="406" t="str">
        <f>IF(OR(ISBLANK(Tabla1[[#This Row],[M3 '[g'] PESO CRISOL+MUESTRA (SECA)]]),ISBLANK(Tabla1[[#This Row],[M1 '[g']]]),ISBLANK(Tabla1[[#This Row],[M4 '[g']  PESO CRISOL + CENIZAS]]),ISBLANK(Tabla1[[#This Row],[M5]])),"",Tabla1[[#This Row],[M3 '[g'] PESO CRISOL+MUESTRA (SECA)]]-Tabla1[[#This Row],[M1 '[g']]]-Tabla1[[#This Row],[M4 '[g']  PESO CRISOL + CENIZAS]]-Tabla1[[#This Row],[M5]])</f>
        <v/>
      </c>
      <c r="K186" s="407" t="str">
        <f>IF(OR(ISBLANK(Tabla1[[#This Row],[M3 '[g'] PESO CRISOL+MUESTRA (SECA)]]),ISBLANK(Tabla1[[#This Row],[M1 '[g']]]),ISBLANK(Tabla1[[#This Row],[M4 '[g']  PESO CRISOL + CENIZAS]])),"",Tabla1[[#This Row],[M3 '[g'] PESO CRISOL+MUESTRA (SECA)]]-Tabla1[[#This Row],[M1 '[g']]]-Tabla1[[#This Row],[M4 '[g']  PESO CRISOL + CENIZAS]])</f>
        <v/>
      </c>
      <c r="L186" s="407" t="str">
        <f>IF(ISNUMBER(Tabla1[[#This Row],[%FIBRA TOTAL]]),Tabla1[[#This Row],[%FIBRA TOTAL]]*(100-Tabla1[[#This Row],[%Grasa y/o % humedad En la Muestra g/100g]])/100,"")</f>
        <v/>
      </c>
      <c r="M186" s="393"/>
      <c r="N186" s="399"/>
      <c r="O186" s="411"/>
      <c r="P186" s="412"/>
      <c r="Q186" s="413"/>
      <c r="R186" s="413"/>
    </row>
    <row r="187" spans="1:18" ht="15.75" customHeight="1" x14ac:dyDescent="0.3">
      <c r="A187" s="397"/>
      <c r="B187" s="398"/>
      <c r="C187" s="399"/>
      <c r="D187" s="399"/>
      <c r="E187" s="399"/>
      <c r="F187" s="399"/>
      <c r="G187" s="400"/>
      <c r="H187" s="400"/>
      <c r="I187" s="400"/>
      <c r="J187" s="406" t="str">
        <f>IF(OR(ISBLANK(Tabla1[[#This Row],[M3 '[g'] PESO CRISOL+MUESTRA (SECA)]]),ISBLANK(Tabla1[[#This Row],[M1 '[g']]]),ISBLANK(Tabla1[[#This Row],[M4 '[g']  PESO CRISOL + CENIZAS]]),ISBLANK(Tabla1[[#This Row],[M5]])),"",Tabla1[[#This Row],[M3 '[g'] PESO CRISOL+MUESTRA (SECA)]]-Tabla1[[#This Row],[M1 '[g']]]-Tabla1[[#This Row],[M4 '[g']  PESO CRISOL + CENIZAS]]-Tabla1[[#This Row],[M5]])</f>
        <v/>
      </c>
      <c r="K187" s="407" t="str">
        <f>IF(OR(ISBLANK(Tabla1[[#This Row],[M3 '[g'] PESO CRISOL+MUESTRA (SECA)]]),ISBLANK(Tabla1[[#This Row],[M1 '[g']]]),ISBLANK(Tabla1[[#This Row],[M4 '[g']  PESO CRISOL + CENIZAS]])),"",Tabla1[[#This Row],[M3 '[g'] PESO CRISOL+MUESTRA (SECA)]]-Tabla1[[#This Row],[M1 '[g']]]-Tabla1[[#This Row],[M4 '[g']  PESO CRISOL + CENIZAS]])</f>
        <v/>
      </c>
      <c r="L187" s="407" t="str">
        <f>IF(ISNUMBER(Tabla1[[#This Row],[%FIBRA TOTAL]]),Tabla1[[#This Row],[%FIBRA TOTAL]]*(100-Tabla1[[#This Row],[%Grasa y/o % humedad En la Muestra g/100g]])/100,"")</f>
        <v/>
      </c>
      <c r="M187" s="393"/>
      <c r="N187" s="399"/>
      <c r="O187" s="411"/>
      <c r="P187" s="412"/>
      <c r="Q187" s="413"/>
      <c r="R187" s="413"/>
    </row>
    <row r="188" spans="1:18" ht="15.75" customHeight="1" x14ac:dyDescent="0.3">
      <c r="A188" s="397"/>
      <c r="B188" s="398"/>
      <c r="C188" s="399"/>
      <c r="D188" s="399"/>
      <c r="E188" s="399"/>
      <c r="F188" s="399"/>
      <c r="G188" s="400"/>
      <c r="H188" s="400"/>
      <c r="I188" s="400"/>
      <c r="J188" s="406" t="str">
        <f>IF(OR(ISBLANK(Tabla1[[#This Row],[M3 '[g'] PESO CRISOL+MUESTRA (SECA)]]),ISBLANK(Tabla1[[#This Row],[M1 '[g']]]),ISBLANK(Tabla1[[#This Row],[M4 '[g']  PESO CRISOL + CENIZAS]]),ISBLANK(Tabla1[[#This Row],[M5]])),"",Tabla1[[#This Row],[M3 '[g'] PESO CRISOL+MUESTRA (SECA)]]-Tabla1[[#This Row],[M1 '[g']]]-Tabla1[[#This Row],[M4 '[g']  PESO CRISOL + CENIZAS]]-Tabla1[[#This Row],[M5]])</f>
        <v/>
      </c>
      <c r="K188" s="407" t="str">
        <f>IF(OR(ISBLANK(Tabla1[[#This Row],[M3 '[g'] PESO CRISOL+MUESTRA (SECA)]]),ISBLANK(Tabla1[[#This Row],[M1 '[g']]]),ISBLANK(Tabla1[[#This Row],[M4 '[g']  PESO CRISOL + CENIZAS]])),"",Tabla1[[#This Row],[M3 '[g'] PESO CRISOL+MUESTRA (SECA)]]-Tabla1[[#This Row],[M1 '[g']]]-Tabla1[[#This Row],[M4 '[g']  PESO CRISOL + CENIZAS]])</f>
        <v/>
      </c>
      <c r="L188" s="407" t="str">
        <f>IF(ISNUMBER(Tabla1[[#This Row],[%FIBRA TOTAL]]),Tabla1[[#This Row],[%FIBRA TOTAL]]*(100-Tabla1[[#This Row],[%Grasa y/o % humedad En la Muestra g/100g]])/100,"")</f>
        <v/>
      </c>
      <c r="M188" s="393"/>
      <c r="N188" s="399"/>
      <c r="O188" s="411"/>
      <c r="P188" s="412"/>
      <c r="Q188" s="413"/>
      <c r="R188" s="413"/>
    </row>
    <row r="189" spans="1:18" ht="15.75" customHeight="1" x14ac:dyDescent="0.3">
      <c r="A189" s="397"/>
      <c r="B189" s="398"/>
      <c r="C189" s="399"/>
      <c r="D189" s="399"/>
      <c r="E189" s="399"/>
      <c r="F189" s="399"/>
      <c r="G189" s="400"/>
      <c r="H189" s="400"/>
      <c r="I189" s="400"/>
      <c r="J189" s="406" t="str">
        <f>IF(OR(ISBLANK(Tabla1[[#This Row],[M3 '[g'] PESO CRISOL+MUESTRA (SECA)]]),ISBLANK(Tabla1[[#This Row],[M1 '[g']]]),ISBLANK(Tabla1[[#This Row],[M4 '[g']  PESO CRISOL + CENIZAS]]),ISBLANK(Tabla1[[#This Row],[M5]])),"",Tabla1[[#This Row],[M3 '[g'] PESO CRISOL+MUESTRA (SECA)]]-Tabla1[[#This Row],[M1 '[g']]]-Tabla1[[#This Row],[M4 '[g']  PESO CRISOL + CENIZAS]]-Tabla1[[#This Row],[M5]])</f>
        <v/>
      </c>
      <c r="K189" s="407" t="str">
        <f>IF(OR(ISBLANK(Tabla1[[#This Row],[M3 '[g'] PESO CRISOL+MUESTRA (SECA)]]),ISBLANK(Tabla1[[#This Row],[M1 '[g']]]),ISBLANK(Tabla1[[#This Row],[M4 '[g']  PESO CRISOL + CENIZAS]])),"",Tabla1[[#This Row],[M3 '[g'] PESO CRISOL+MUESTRA (SECA)]]-Tabla1[[#This Row],[M1 '[g']]]-Tabla1[[#This Row],[M4 '[g']  PESO CRISOL + CENIZAS]])</f>
        <v/>
      </c>
      <c r="L189" s="407" t="str">
        <f>IF(ISNUMBER(Tabla1[[#This Row],[%FIBRA TOTAL]]),Tabla1[[#This Row],[%FIBRA TOTAL]]*(100-Tabla1[[#This Row],[%Grasa y/o % humedad En la Muestra g/100g]])/100,"")</f>
        <v/>
      </c>
      <c r="M189" s="393"/>
      <c r="N189" s="399"/>
      <c r="O189" s="411"/>
      <c r="P189" s="412"/>
      <c r="Q189" s="413"/>
      <c r="R189" s="413"/>
    </row>
    <row r="190" spans="1:18" ht="15.75" customHeight="1" x14ac:dyDescent="0.3">
      <c r="A190" s="397"/>
      <c r="B190" s="398"/>
      <c r="C190" s="399"/>
      <c r="D190" s="399"/>
      <c r="E190" s="399"/>
      <c r="F190" s="399"/>
      <c r="G190" s="400"/>
      <c r="H190" s="400"/>
      <c r="I190" s="400"/>
      <c r="J190" s="406" t="str">
        <f>IF(OR(ISBLANK(Tabla1[[#This Row],[M3 '[g'] PESO CRISOL+MUESTRA (SECA)]]),ISBLANK(Tabla1[[#This Row],[M1 '[g']]]),ISBLANK(Tabla1[[#This Row],[M4 '[g']  PESO CRISOL + CENIZAS]]),ISBLANK(Tabla1[[#This Row],[M5]])),"",Tabla1[[#This Row],[M3 '[g'] PESO CRISOL+MUESTRA (SECA)]]-Tabla1[[#This Row],[M1 '[g']]]-Tabla1[[#This Row],[M4 '[g']  PESO CRISOL + CENIZAS]]-Tabla1[[#This Row],[M5]])</f>
        <v/>
      </c>
      <c r="K190" s="407" t="str">
        <f>IF(OR(ISBLANK(Tabla1[[#This Row],[M3 '[g'] PESO CRISOL+MUESTRA (SECA)]]),ISBLANK(Tabla1[[#This Row],[M1 '[g']]]),ISBLANK(Tabla1[[#This Row],[M4 '[g']  PESO CRISOL + CENIZAS]])),"",Tabla1[[#This Row],[M3 '[g'] PESO CRISOL+MUESTRA (SECA)]]-Tabla1[[#This Row],[M1 '[g']]]-Tabla1[[#This Row],[M4 '[g']  PESO CRISOL + CENIZAS]])</f>
        <v/>
      </c>
      <c r="L190" s="407" t="str">
        <f>IF(ISNUMBER(Tabla1[[#This Row],[%FIBRA TOTAL]]),Tabla1[[#This Row],[%FIBRA TOTAL]]*(100-Tabla1[[#This Row],[%Grasa y/o % humedad En la Muestra g/100g]])/100,"")</f>
        <v/>
      </c>
      <c r="M190" s="393"/>
      <c r="N190" s="399"/>
      <c r="O190" s="411"/>
      <c r="P190" s="412"/>
      <c r="Q190" s="413"/>
      <c r="R190" s="413"/>
    </row>
    <row r="191" spans="1:18" ht="15.75" customHeight="1" x14ac:dyDescent="0.3">
      <c r="A191" s="397"/>
      <c r="B191" s="398"/>
      <c r="C191" s="399"/>
      <c r="D191" s="399"/>
      <c r="E191" s="399"/>
      <c r="F191" s="399"/>
      <c r="G191" s="400"/>
      <c r="H191" s="400"/>
      <c r="I191" s="400"/>
      <c r="J191" s="406" t="str">
        <f>IF(OR(ISBLANK(Tabla1[[#This Row],[M3 '[g'] PESO CRISOL+MUESTRA (SECA)]]),ISBLANK(Tabla1[[#This Row],[M1 '[g']]]),ISBLANK(Tabla1[[#This Row],[M4 '[g']  PESO CRISOL + CENIZAS]]),ISBLANK(Tabla1[[#This Row],[M5]])),"",Tabla1[[#This Row],[M3 '[g'] PESO CRISOL+MUESTRA (SECA)]]-Tabla1[[#This Row],[M1 '[g']]]-Tabla1[[#This Row],[M4 '[g']  PESO CRISOL + CENIZAS]]-Tabla1[[#This Row],[M5]])</f>
        <v/>
      </c>
      <c r="K191" s="407" t="str">
        <f>IF(OR(ISBLANK(Tabla1[[#This Row],[M3 '[g'] PESO CRISOL+MUESTRA (SECA)]]),ISBLANK(Tabla1[[#This Row],[M1 '[g']]]),ISBLANK(Tabla1[[#This Row],[M4 '[g']  PESO CRISOL + CENIZAS]])),"",Tabla1[[#This Row],[M3 '[g'] PESO CRISOL+MUESTRA (SECA)]]-Tabla1[[#This Row],[M1 '[g']]]-Tabla1[[#This Row],[M4 '[g']  PESO CRISOL + CENIZAS]])</f>
        <v/>
      </c>
      <c r="L191" s="407" t="str">
        <f>IF(ISNUMBER(Tabla1[[#This Row],[%FIBRA TOTAL]]),Tabla1[[#This Row],[%FIBRA TOTAL]]*(100-Tabla1[[#This Row],[%Grasa y/o % humedad En la Muestra g/100g]])/100,"")</f>
        <v/>
      </c>
      <c r="M191" s="393"/>
      <c r="N191" s="399"/>
      <c r="O191" s="411"/>
      <c r="P191" s="412"/>
      <c r="Q191" s="413"/>
      <c r="R191" s="413"/>
    </row>
    <row r="192" spans="1:18" ht="15.75" customHeight="1" x14ac:dyDescent="0.3">
      <c r="A192" s="397"/>
      <c r="B192" s="398"/>
      <c r="C192" s="399"/>
      <c r="D192" s="399"/>
      <c r="E192" s="399"/>
      <c r="F192" s="399"/>
      <c r="G192" s="400"/>
      <c r="H192" s="400"/>
      <c r="I192" s="400"/>
      <c r="J192" s="406" t="str">
        <f>IF(OR(ISBLANK(Tabla1[[#This Row],[M3 '[g'] PESO CRISOL+MUESTRA (SECA)]]),ISBLANK(Tabla1[[#This Row],[M1 '[g']]]),ISBLANK(Tabla1[[#This Row],[M4 '[g']  PESO CRISOL + CENIZAS]]),ISBLANK(Tabla1[[#This Row],[M5]])),"",Tabla1[[#This Row],[M3 '[g'] PESO CRISOL+MUESTRA (SECA)]]-Tabla1[[#This Row],[M1 '[g']]]-Tabla1[[#This Row],[M4 '[g']  PESO CRISOL + CENIZAS]]-Tabla1[[#This Row],[M5]])</f>
        <v/>
      </c>
      <c r="K192" s="407" t="str">
        <f>IF(OR(ISBLANK(Tabla1[[#This Row],[M3 '[g'] PESO CRISOL+MUESTRA (SECA)]]),ISBLANK(Tabla1[[#This Row],[M1 '[g']]]),ISBLANK(Tabla1[[#This Row],[M4 '[g']  PESO CRISOL + CENIZAS]])),"",Tabla1[[#This Row],[M3 '[g'] PESO CRISOL+MUESTRA (SECA)]]-Tabla1[[#This Row],[M1 '[g']]]-Tabla1[[#This Row],[M4 '[g']  PESO CRISOL + CENIZAS]])</f>
        <v/>
      </c>
      <c r="L192" s="407" t="str">
        <f>IF(ISNUMBER(Tabla1[[#This Row],[%FIBRA TOTAL]]),Tabla1[[#This Row],[%FIBRA TOTAL]]*(100-Tabla1[[#This Row],[%Grasa y/o % humedad En la Muestra g/100g]])/100,"")</f>
        <v/>
      </c>
      <c r="M192" s="393"/>
      <c r="N192" s="399"/>
      <c r="O192" s="411"/>
      <c r="P192" s="412"/>
      <c r="Q192" s="413"/>
      <c r="R192" s="413"/>
    </row>
    <row r="193" spans="1:22" ht="15.75" customHeight="1" x14ac:dyDescent="0.3">
      <c r="A193" s="397"/>
      <c r="B193" s="398"/>
      <c r="C193" s="399"/>
      <c r="D193" s="399"/>
      <c r="E193" s="399"/>
      <c r="F193" s="399"/>
      <c r="G193" s="400"/>
      <c r="H193" s="400"/>
      <c r="I193" s="400"/>
      <c r="J193" s="406" t="str">
        <f>IF(OR(ISBLANK(Tabla1[[#This Row],[M3 '[g'] PESO CRISOL+MUESTRA (SECA)]]),ISBLANK(Tabla1[[#This Row],[M1 '[g']]]),ISBLANK(Tabla1[[#This Row],[M4 '[g']  PESO CRISOL + CENIZAS]]),ISBLANK(Tabla1[[#This Row],[M5]])),"",Tabla1[[#This Row],[M3 '[g'] PESO CRISOL+MUESTRA (SECA)]]-Tabla1[[#This Row],[M1 '[g']]]-Tabla1[[#This Row],[M4 '[g']  PESO CRISOL + CENIZAS]]-Tabla1[[#This Row],[M5]])</f>
        <v/>
      </c>
      <c r="K193" s="407" t="str">
        <f>IF(OR(ISBLANK(Tabla1[[#This Row],[M3 '[g'] PESO CRISOL+MUESTRA (SECA)]]),ISBLANK(Tabla1[[#This Row],[M1 '[g']]]),ISBLANK(Tabla1[[#This Row],[M4 '[g']  PESO CRISOL + CENIZAS]])),"",Tabla1[[#This Row],[M3 '[g'] PESO CRISOL+MUESTRA (SECA)]]-Tabla1[[#This Row],[M1 '[g']]]-Tabla1[[#This Row],[M4 '[g']  PESO CRISOL + CENIZAS]])</f>
        <v/>
      </c>
      <c r="L193" s="407" t="str">
        <f>IF(ISNUMBER(Tabla1[[#This Row],[%FIBRA TOTAL]]),Tabla1[[#This Row],[%FIBRA TOTAL]]*(100-Tabla1[[#This Row],[%Grasa y/o % humedad En la Muestra g/100g]])/100,"")</f>
        <v/>
      </c>
      <c r="M193" s="393"/>
      <c r="N193" s="399"/>
      <c r="O193" s="411"/>
      <c r="P193" s="412"/>
      <c r="Q193" s="413"/>
      <c r="R193" s="413"/>
    </row>
    <row r="194" spans="1:22" ht="15.75" customHeight="1" x14ac:dyDescent="0.3">
      <c r="A194" s="397"/>
      <c r="B194" s="398"/>
      <c r="C194" s="399"/>
      <c r="D194" s="399"/>
      <c r="E194" s="399"/>
      <c r="F194" s="399"/>
      <c r="G194" s="400"/>
      <c r="H194" s="400"/>
      <c r="I194" s="400"/>
      <c r="J194" s="406" t="str">
        <f>IF(OR(ISBLANK(Tabla1[[#This Row],[M3 '[g'] PESO CRISOL+MUESTRA (SECA)]]),ISBLANK(Tabla1[[#This Row],[M1 '[g']]]),ISBLANK(Tabla1[[#This Row],[M4 '[g']  PESO CRISOL + CENIZAS]]),ISBLANK(Tabla1[[#This Row],[M5]])),"",Tabla1[[#This Row],[M3 '[g'] PESO CRISOL+MUESTRA (SECA)]]-Tabla1[[#This Row],[M1 '[g']]]-Tabla1[[#This Row],[M4 '[g']  PESO CRISOL + CENIZAS]]-Tabla1[[#This Row],[M5]])</f>
        <v/>
      </c>
      <c r="K194" s="407" t="str">
        <f>IF(OR(ISBLANK(Tabla1[[#This Row],[M3 '[g'] PESO CRISOL+MUESTRA (SECA)]]),ISBLANK(Tabla1[[#This Row],[M1 '[g']]]),ISBLANK(Tabla1[[#This Row],[M4 '[g']  PESO CRISOL + CENIZAS]])),"",Tabla1[[#This Row],[M3 '[g'] PESO CRISOL+MUESTRA (SECA)]]-Tabla1[[#This Row],[M1 '[g']]]-Tabla1[[#This Row],[M4 '[g']  PESO CRISOL + CENIZAS]])</f>
        <v/>
      </c>
      <c r="L194" s="407" t="str">
        <f>IF(ISNUMBER(Tabla1[[#This Row],[%FIBRA TOTAL]]),Tabla1[[#This Row],[%FIBRA TOTAL]]*(100-Tabla1[[#This Row],[%Grasa y/o % humedad En la Muestra g/100g]])/100,"")</f>
        <v/>
      </c>
      <c r="M194" s="393"/>
      <c r="N194" s="399"/>
      <c r="O194" s="411"/>
      <c r="P194" s="412"/>
      <c r="Q194" s="413"/>
      <c r="R194" s="413"/>
    </row>
    <row r="195" spans="1:22" ht="15.75" customHeight="1" x14ac:dyDescent="0.3">
      <c r="A195" s="397"/>
      <c r="B195" s="398"/>
      <c r="C195" s="399"/>
      <c r="D195" s="399"/>
      <c r="E195" s="399"/>
      <c r="F195" s="399"/>
      <c r="G195" s="400"/>
      <c r="H195" s="400"/>
      <c r="I195" s="400"/>
      <c r="J195" s="406" t="str">
        <f>IF(OR(ISBLANK(Tabla1[[#This Row],[M3 '[g'] PESO CRISOL+MUESTRA (SECA)]]),ISBLANK(Tabla1[[#This Row],[M1 '[g']]]),ISBLANK(Tabla1[[#This Row],[M4 '[g']  PESO CRISOL + CENIZAS]]),ISBLANK(Tabla1[[#This Row],[M5]])),"",Tabla1[[#This Row],[M3 '[g'] PESO CRISOL+MUESTRA (SECA)]]-Tabla1[[#This Row],[M1 '[g']]]-Tabla1[[#This Row],[M4 '[g']  PESO CRISOL + CENIZAS]]-Tabla1[[#This Row],[M5]])</f>
        <v/>
      </c>
      <c r="K195" s="407" t="str">
        <f>IF(OR(ISBLANK(Tabla1[[#This Row],[M3 '[g'] PESO CRISOL+MUESTRA (SECA)]]),ISBLANK(Tabla1[[#This Row],[M1 '[g']]]),ISBLANK(Tabla1[[#This Row],[M4 '[g']  PESO CRISOL + CENIZAS]])),"",Tabla1[[#This Row],[M3 '[g'] PESO CRISOL+MUESTRA (SECA)]]-Tabla1[[#This Row],[M1 '[g']]]-Tabla1[[#This Row],[M4 '[g']  PESO CRISOL + CENIZAS]])</f>
        <v/>
      </c>
      <c r="L195" s="407" t="str">
        <f>IF(ISNUMBER(Tabla1[[#This Row],[%FIBRA TOTAL]]),Tabla1[[#This Row],[%FIBRA TOTAL]]*(100-Tabla1[[#This Row],[%Grasa y/o % humedad En la Muestra g/100g]])/100,"")</f>
        <v/>
      </c>
      <c r="M195" s="393"/>
      <c r="N195" s="399"/>
      <c r="O195" s="411"/>
      <c r="P195" s="412"/>
      <c r="Q195" s="413"/>
      <c r="R195" s="413"/>
    </row>
    <row r="196" spans="1:22" ht="15.75" customHeight="1" x14ac:dyDescent="0.3">
      <c r="A196" s="397"/>
      <c r="B196" s="398"/>
      <c r="C196" s="399"/>
      <c r="D196" s="399"/>
      <c r="E196" s="399"/>
      <c r="F196" s="399"/>
      <c r="G196" s="400"/>
      <c r="H196" s="400"/>
      <c r="I196" s="400"/>
      <c r="J196" s="406" t="str">
        <f>IF(OR(ISBLANK(Tabla1[[#This Row],[M3 '[g'] PESO CRISOL+MUESTRA (SECA)]]),ISBLANK(Tabla1[[#This Row],[M1 '[g']]]),ISBLANK(Tabla1[[#This Row],[M4 '[g']  PESO CRISOL + CENIZAS]]),ISBLANK(Tabla1[[#This Row],[M5]])),"",Tabla1[[#This Row],[M3 '[g'] PESO CRISOL+MUESTRA (SECA)]]-Tabla1[[#This Row],[M1 '[g']]]-Tabla1[[#This Row],[M4 '[g']  PESO CRISOL + CENIZAS]]-Tabla1[[#This Row],[M5]])</f>
        <v/>
      </c>
      <c r="K196" s="407" t="str">
        <f>IF(OR(ISBLANK(Tabla1[[#This Row],[M3 '[g'] PESO CRISOL+MUESTRA (SECA)]]),ISBLANK(Tabla1[[#This Row],[M1 '[g']]]),ISBLANK(Tabla1[[#This Row],[M4 '[g']  PESO CRISOL + CENIZAS]])),"",Tabla1[[#This Row],[M3 '[g'] PESO CRISOL+MUESTRA (SECA)]]-Tabla1[[#This Row],[M1 '[g']]]-Tabla1[[#This Row],[M4 '[g']  PESO CRISOL + CENIZAS]])</f>
        <v/>
      </c>
      <c r="L196" s="407" t="str">
        <f>IF(ISNUMBER(Tabla1[[#This Row],[%FIBRA TOTAL]]),Tabla1[[#This Row],[%FIBRA TOTAL]]*(100-Tabla1[[#This Row],[%Grasa y/o % humedad En la Muestra g/100g]])/100,"")</f>
        <v/>
      </c>
      <c r="M196" s="393"/>
      <c r="N196" s="399"/>
      <c r="O196" s="411"/>
      <c r="P196" s="412"/>
      <c r="Q196" s="413"/>
      <c r="R196" s="413"/>
    </row>
    <row r="197" spans="1:22" ht="15.75" customHeight="1" x14ac:dyDescent="0.3">
      <c r="A197" s="397"/>
      <c r="B197" s="398"/>
      <c r="C197" s="399"/>
      <c r="D197" s="399"/>
      <c r="E197" s="399"/>
      <c r="F197" s="399"/>
      <c r="G197" s="400"/>
      <c r="H197" s="400"/>
      <c r="I197" s="400"/>
      <c r="J197" s="406" t="str">
        <f>IF(OR(ISBLANK(Tabla1[[#This Row],[M3 '[g'] PESO CRISOL+MUESTRA (SECA)]]),ISBLANK(Tabla1[[#This Row],[M1 '[g']]]),ISBLANK(Tabla1[[#This Row],[M4 '[g']  PESO CRISOL + CENIZAS]]),ISBLANK(Tabla1[[#This Row],[M5]])),"",Tabla1[[#This Row],[M3 '[g'] PESO CRISOL+MUESTRA (SECA)]]-Tabla1[[#This Row],[M1 '[g']]]-Tabla1[[#This Row],[M4 '[g']  PESO CRISOL + CENIZAS]]-Tabla1[[#This Row],[M5]])</f>
        <v/>
      </c>
      <c r="K197" s="407" t="str">
        <f>IF(OR(ISBLANK(Tabla1[[#This Row],[M3 '[g'] PESO CRISOL+MUESTRA (SECA)]]),ISBLANK(Tabla1[[#This Row],[M1 '[g']]]),ISBLANK(Tabla1[[#This Row],[M4 '[g']  PESO CRISOL + CENIZAS]])),"",Tabla1[[#This Row],[M3 '[g'] PESO CRISOL+MUESTRA (SECA)]]-Tabla1[[#This Row],[M1 '[g']]]-Tabla1[[#This Row],[M4 '[g']  PESO CRISOL + CENIZAS]])</f>
        <v/>
      </c>
      <c r="L197" s="407" t="str">
        <f>IF(ISNUMBER(Tabla1[[#This Row],[%FIBRA TOTAL]]),Tabla1[[#This Row],[%FIBRA TOTAL]]*(100-Tabla1[[#This Row],[%Grasa y/o % humedad En la Muestra g/100g]])/100,"")</f>
        <v/>
      </c>
      <c r="M197" s="393"/>
      <c r="N197" s="399"/>
      <c r="O197" s="411"/>
      <c r="P197" s="412"/>
      <c r="Q197" s="413"/>
      <c r="R197" s="413"/>
    </row>
    <row r="198" spans="1:22" ht="15.75" customHeight="1" x14ac:dyDescent="0.3">
      <c r="A198" s="397"/>
      <c r="B198" s="398"/>
      <c r="C198" s="399"/>
      <c r="D198" s="399"/>
      <c r="E198" s="399"/>
      <c r="F198" s="399"/>
      <c r="G198" s="400"/>
      <c r="H198" s="400"/>
      <c r="I198" s="400"/>
      <c r="J198" s="406" t="str">
        <f>IF(OR(ISBLANK(Tabla1[[#This Row],[M3 '[g'] PESO CRISOL+MUESTRA (SECA)]]),ISBLANK(Tabla1[[#This Row],[M1 '[g']]]),ISBLANK(Tabla1[[#This Row],[M4 '[g']  PESO CRISOL + CENIZAS]]),ISBLANK(Tabla1[[#This Row],[M5]])),"",Tabla1[[#This Row],[M3 '[g'] PESO CRISOL+MUESTRA (SECA)]]-Tabla1[[#This Row],[M1 '[g']]]-Tabla1[[#This Row],[M4 '[g']  PESO CRISOL + CENIZAS]]-Tabla1[[#This Row],[M5]])</f>
        <v/>
      </c>
      <c r="K198" s="407" t="str">
        <f>IF(OR(ISBLANK(Tabla1[[#This Row],[M3 '[g'] PESO CRISOL+MUESTRA (SECA)]]),ISBLANK(Tabla1[[#This Row],[M1 '[g']]]),ISBLANK(Tabla1[[#This Row],[M4 '[g']  PESO CRISOL + CENIZAS]])),"",Tabla1[[#This Row],[M3 '[g'] PESO CRISOL+MUESTRA (SECA)]]-Tabla1[[#This Row],[M1 '[g']]]-Tabla1[[#This Row],[M4 '[g']  PESO CRISOL + CENIZAS]])</f>
        <v/>
      </c>
      <c r="L198" s="407" t="str">
        <f>IF(ISNUMBER(Tabla1[[#This Row],[%FIBRA TOTAL]]),Tabla1[[#This Row],[%FIBRA TOTAL]]*(100-Tabla1[[#This Row],[%Grasa y/o % humedad En la Muestra g/100g]])/100,"")</f>
        <v/>
      </c>
      <c r="M198" s="393"/>
      <c r="N198" s="399"/>
      <c r="O198" s="411"/>
      <c r="P198" s="412"/>
      <c r="Q198" s="413"/>
      <c r="R198" s="413"/>
    </row>
    <row r="199" spans="1:22" ht="15.75" customHeight="1" x14ac:dyDescent="0.3">
      <c r="A199" s="397"/>
      <c r="B199" s="398"/>
      <c r="C199" s="399"/>
      <c r="D199" s="399"/>
      <c r="E199" s="399"/>
      <c r="F199" s="399"/>
      <c r="G199" s="400"/>
      <c r="H199" s="400"/>
      <c r="I199" s="400"/>
      <c r="J199" s="406" t="str">
        <f>IF(OR(ISBLANK(Tabla1[[#This Row],[M3 '[g'] PESO CRISOL+MUESTRA (SECA)]]),ISBLANK(Tabla1[[#This Row],[M1 '[g']]]),ISBLANK(Tabla1[[#This Row],[M4 '[g']  PESO CRISOL + CENIZAS]]),ISBLANK(Tabla1[[#This Row],[M5]])),"",Tabla1[[#This Row],[M3 '[g'] PESO CRISOL+MUESTRA (SECA)]]-Tabla1[[#This Row],[M1 '[g']]]-Tabla1[[#This Row],[M4 '[g']  PESO CRISOL + CENIZAS]]-Tabla1[[#This Row],[M5]])</f>
        <v/>
      </c>
      <c r="K199" s="407" t="str">
        <f>IF(OR(ISBLANK(Tabla1[[#This Row],[M3 '[g'] PESO CRISOL+MUESTRA (SECA)]]),ISBLANK(Tabla1[[#This Row],[M1 '[g']]]),ISBLANK(Tabla1[[#This Row],[M4 '[g']  PESO CRISOL + CENIZAS]])),"",Tabla1[[#This Row],[M3 '[g'] PESO CRISOL+MUESTRA (SECA)]]-Tabla1[[#This Row],[M1 '[g']]]-Tabla1[[#This Row],[M4 '[g']  PESO CRISOL + CENIZAS]])</f>
        <v/>
      </c>
      <c r="L199" s="407" t="str">
        <f>IF(ISNUMBER(Tabla1[[#This Row],[%FIBRA TOTAL]]),Tabla1[[#This Row],[%FIBRA TOTAL]]*(100-Tabla1[[#This Row],[%Grasa y/o % humedad En la Muestra g/100g]])/100,"")</f>
        <v/>
      </c>
      <c r="M199" s="393"/>
      <c r="N199" s="399"/>
      <c r="O199" s="411"/>
      <c r="P199" s="412"/>
      <c r="Q199" s="413"/>
      <c r="R199" s="413"/>
    </row>
    <row r="200" spans="1:22" ht="15.75" customHeight="1" x14ac:dyDescent="0.3">
      <c r="A200" s="397"/>
      <c r="B200" s="398"/>
      <c r="C200" s="399"/>
      <c r="D200" s="399"/>
      <c r="E200" s="399"/>
      <c r="F200" s="399"/>
      <c r="G200" s="400"/>
      <c r="H200" s="400"/>
      <c r="I200" s="400"/>
      <c r="J200" s="406" t="str">
        <f>IF(OR(ISBLANK(Tabla1[[#This Row],[M3 '[g'] PESO CRISOL+MUESTRA (SECA)]]),ISBLANK(Tabla1[[#This Row],[M1 '[g']]]),ISBLANK(Tabla1[[#This Row],[M4 '[g']  PESO CRISOL + CENIZAS]]),ISBLANK(Tabla1[[#This Row],[M5]])),"",Tabla1[[#This Row],[M3 '[g'] PESO CRISOL+MUESTRA (SECA)]]-Tabla1[[#This Row],[M1 '[g']]]-Tabla1[[#This Row],[M4 '[g']  PESO CRISOL + CENIZAS]]-Tabla1[[#This Row],[M5]])</f>
        <v/>
      </c>
      <c r="K200" s="407" t="str">
        <f>IF(OR(ISBLANK(Tabla1[[#This Row],[M3 '[g'] PESO CRISOL+MUESTRA (SECA)]]),ISBLANK(Tabla1[[#This Row],[M1 '[g']]]),ISBLANK(Tabla1[[#This Row],[M4 '[g']  PESO CRISOL + CENIZAS]])),"",Tabla1[[#This Row],[M3 '[g'] PESO CRISOL+MUESTRA (SECA)]]-Tabla1[[#This Row],[M1 '[g']]]-Tabla1[[#This Row],[M4 '[g']  PESO CRISOL + CENIZAS]])</f>
        <v/>
      </c>
      <c r="L200" s="407" t="str">
        <f>IF(ISNUMBER(Tabla1[[#This Row],[%FIBRA TOTAL]]),Tabla1[[#This Row],[%FIBRA TOTAL]]*(100-Tabla1[[#This Row],[%Grasa y/o % humedad En la Muestra g/100g]])/100,"")</f>
        <v/>
      </c>
      <c r="M200" s="393"/>
      <c r="N200" s="399"/>
      <c r="O200" s="411"/>
      <c r="P200" s="412"/>
      <c r="Q200" s="413"/>
      <c r="R200" s="413"/>
    </row>
    <row r="201" spans="1:22" ht="15.75" customHeight="1" x14ac:dyDescent="0.3">
      <c r="A201" s="397"/>
      <c r="B201" s="398"/>
      <c r="C201" s="399"/>
      <c r="D201" s="399"/>
      <c r="E201" s="399"/>
      <c r="F201" s="399"/>
      <c r="G201" s="400"/>
      <c r="H201" s="400"/>
      <c r="I201" s="400"/>
      <c r="J201" s="406" t="str">
        <f>IF(OR(ISBLANK(Tabla1[[#This Row],[M3 '[g'] PESO CRISOL+MUESTRA (SECA)]]),ISBLANK(Tabla1[[#This Row],[M1 '[g']]]),ISBLANK(Tabla1[[#This Row],[M4 '[g']  PESO CRISOL + CENIZAS]]),ISBLANK(Tabla1[[#This Row],[M5]])),"",Tabla1[[#This Row],[M3 '[g'] PESO CRISOL+MUESTRA (SECA)]]-Tabla1[[#This Row],[M1 '[g']]]-Tabla1[[#This Row],[M4 '[g']  PESO CRISOL + CENIZAS]]-Tabla1[[#This Row],[M5]])</f>
        <v/>
      </c>
      <c r="K201" s="407" t="str">
        <f>IF(OR(ISBLANK(Tabla1[[#This Row],[M3 '[g'] PESO CRISOL+MUESTRA (SECA)]]),ISBLANK(Tabla1[[#This Row],[M1 '[g']]]),ISBLANK(Tabla1[[#This Row],[M4 '[g']  PESO CRISOL + CENIZAS]])),"",Tabla1[[#This Row],[M3 '[g'] PESO CRISOL+MUESTRA (SECA)]]-Tabla1[[#This Row],[M1 '[g']]]-Tabla1[[#This Row],[M4 '[g']  PESO CRISOL + CENIZAS]])</f>
        <v/>
      </c>
      <c r="L201" s="407" t="str">
        <f>IF(ISNUMBER(Tabla1[[#This Row],[%FIBRA TOTAL]]),Tabla1[[#This Row],[%FIBRA TOTAL]]*(100-Tabla1[[#This Row],[%Grasa y/o % humedad En la Muestra g/100g]])/100,"")</f>
        <v/>
      </c>
      <c r="M201" s="393"/>
      <c r="N201" s="399"/>
      <c r="O201" s="411"/>
      <c r="P201" s="412"/>
      <c r="Q201" s="413"/>
      <c r="R201" s="413"/>
    </row>
    <row r="202" spans="1:22" ht="15.75" customHeight="1" x14ac:dyDescent="0.3">
      <c r="A202" s="397"/>
      <c r="B202" s="398"/>
      <c r="C202" s="399"/>
      <c r="D202" s="399"/>
      <c r="E202" s="399"/>
      <c r="F202" s="399"/>
      <c r="G202" s="400"/>
      <c r="H202" s="400"/>
      <c r="I202" s="400"/>
      <c r="J202" s="406" t="str">
        <f>IF(OR(ISBLANK(Tabla1[[#This Row],[M3 '[g'] PESO CRISOL+MUESTRA (SECA)]]),ISBLANK(Tabla1[[#This Row],[M1 '[g']]]),ISBLANK(Tabla1[[#This Row],[M4 '[g']  PESO CRISOL + CENIZAS]]),ISBLANK(Tabla1[[#This Row],[M5]])),"",Tabla1[[#This Row],[M3 '[g'] PESO CRISOL+MUESTRA (SECA)]]-Tabla1[[#This Row],[M1 '[g']]]-Tabla1[[#This Row],[M4 '[g']  PESO CRISOL + CENIZAS]]-Tabla1[[#This Row],[M5]])</f>
        <v/>
      </c>
      <c r="K202" s="407" t="str">
        <f>IF(OR(ISBLANK(Tabla1[[#This Row],[M3 '[g'] PESO CRISOL+MUESTRA (SECA)]]),ISBLANK(Tabla1[[#This Row],[M1 '[g']]]),ISBLANK(Tabla1[[#This Row],[M4 '[g']  PESO CRISOL + CENIZAS]])),"",Tabla1[[#This Row],[M3 '[g'] PESO CRISOL+MUESTRA (SECA)]]-Tabla1[[#This Row],[M1 '[g']]]-Tabla1[[#This Row],[M4 '[g']  PESO CRISOL + CENIZAS]])</f>
        <v/>
      </c>
      <c r="L202" s="407" t="str">
        <f>IF(ISNUMBER(Tabla1[[#This Row],[%FIBRA TOTAL]]),Tabla1[[#This Row],[%FIBRA TOTAL]]*(100-Tabla1[[#This Row],[%Grasa y/o % humedad En la Muestra g/100g]])/100,"")</f>
        <v/>
      </c>
      <c r="M202" s="393"/>
      <c r="N202" s="399"/>
      <c r="O202" s="411"/>
      <c r="P202" s="412"/>
      <c r="Q202" s="413"/>
      <c r="R202" s="413"/>
    </row>
    <row r="203" spans="1:22" ht="15.75" customHeight="1" x14ac:dyDescent="0.3">
      <c r="A203" s="397"/>
      <c r="B203" s="398"/>
      <c r="C203" s="399"/>
      <c r="D203" s="399"/>
      <c r="E203" s="399"/>
      <c r="F203" s="399"/>
      <c r="G203" s="400"/>
      <c r="H203" s="400"/>
      <c r="I203" s="400"/>
      <c r="J203" s="406" t="str">
        <f>IF(OR(ISBLANK(Tabla1[[#This Row],[M3 '[g'] PESO CRISOL+MUESTRA (SECA)]]),ISBLANK(Tabla1[[#This Row],[M1 '[g']]]),ISBLANK(Tabla1[[#This Row],[M4 '[g']  PESO CRISOL + CENIZAS]]),ISBLANK(Tabla1[[#This Row],[M5]])),"",Tabla1[[#This Row],[M3 '[g'] PESO CRISOL+MUESTRA (SECA)]]-Tabla1[[#This Row],[M1 '[g']]]-Tabla1[[#This Row],[M4 '[g']  PESO CRISOL + CENIZAS]]-Tabla1[[#This Row],[M5]])</f>
        <v/>
      </c>
      <c r="K203" s="407" t="str">
        <f>IF(OR(ISBLANK(Tabla1[[#This Row],[M3 '[g'] PESO CRISOL+MUESTRA (SECA)]]),ISBLANK(Tabla1[[#This Row],[M1 '[g']]]),ISBLANK(Tabla1[[#This Row],[M4 '[g']  PESO CRISOL + CENIZAS]])),"",Tabla1[[#This Row],[M3 '[g'] PESO CRISOL+MUESTRA (SECA)]]-Tabla1[[#This Row],[M1 '[g']]]-Tabla1[[#This Row],[M4 '[g']  PESO CRISOL + CENIZAS]])</f>
        <v/>
      </c>
      <c r="L203" s="407" t="str">
        <f>IF(ISNUMBER(Tabla1[[#This Row],[%FIBRA TOTAL]]),Tabla1[[#This Row],[%FIBRA TOTAL]]*(100-Tabla1[[#This Row],[%Grasa y/o % humedad En la Muestra g/100g]])/100,"")</f>
        <v/>
      </c>
      <c r="M203" s="393"/>
      <c r="N203" s="399"/>
      <c r="O203" s="411"/>
      <c r="P203" s="412"/>
      <c r="Q203" s="413"/>
      <c r="R203" s="413"/>
    </row>
    <row r="204" spans="1:22" ht="15.75" customHeight="1" x14ac:dyDescent="0.3">
      <c r="A204" s="397"/>
      <c r="B204" s="398"/>
      <c r="C204" s="399"/>
      <c r="D204" s="399"/>
      <c r="E204" s="399"/>
      <c r="F204" s="399"/>
      <c r="G204" s="400"/>
      <c r="H204" s="400"/>
      <c r="I204" s="400"/>
      <c r="J204" s="406" t="str">
        <f>IF(OR(ISBLANK(Tabla1[[#This Row],[M3 '[g'] PESO CRISOL+MUESTRA (SECA)]]),ISBLANK(Tabla1[[#This Row],[M1 '[g']]]),ISBLANK(Tabla1[[#This Row],[M4 '[g']  PESO CRISOL + CENIZAS]]),ISBLANK(Tabla1[[#This Row],[M5]])),"",Tabla1[[#This Row],[M3 '[g'] PESO CRISOL+MUESTRA (SECA)]]-Tabla1[[#This Row],[M1 '[g']]]-Tabla1[[#This Row],[M4 '[g']  PESO CRISOL + CENIZAS]]-Tabla1[[#This Row],[M5]])</f>
        <v/>
      </c>
      <c r="K204" s="407" t="str">
        <f>IF(OR(ISBLANK(Tabla1[[#This Row],[M3 '[g'] PESO CRISOL+MUESTRA (SECA)]]),ISBLANK(Tabla1[[#This Row],[M1 '[g']]]),ISBLANK(Tabla1[[#This Row],[M4 '[g']  PESO CRISOL + CENIZAS]])),"",Tabla1[[#This Row],[M3 '[g'] PESO CRISOL+MUESTRA (SECA)]]-Tabla1[[#This Row],[M1 '[g']]]-Tabla1[[#This Row],[M4 '[g']  PESO CRISOL + CENIZAS]])</f>
        <v/>
      </c>
      <c r="L204" s="407" t="str">
        <f>IF(ISNUMBER(Tabla1[[#This Row],[%FIBRA TOTAL]]),Tabla1[[#This Row],[%FIBRA TOTAL]]*(100-Tabla1[[#This Row],[%Grasa y/o % humedad En la Muestra g/100g]])/100,"")</f>
        <v/>
      </c>
      <c r="M204" s="393"/>
      <c r="N204" s="399"/>
      <c r="O204" s="411"/>
      <c r="P204" s="412"/>
      <c r="Q204" s="413"/>
      <c r="R204" s="413"/>
      <c r="T204" s="394" t="s">
        <v>1221</v>
      </c>
      <c r="U204" s="394"/>
      <c r="V204" s="394"/>
    </row>
    <row r="205" spans="1:22" ht="15.75" customHeight="1" x14ac:dyDescent="0.3">
      <c r="A205" s="397"/>
      <c r="B205" s="398"/>
      <c r="C205" s="399"/>
      <c r="D205" s="399"/>
      <c r="E205" s="399"/>
      <c r="F205" s="399"/>
      <c r="G205" s="400"/>
      <c r="H205" s="400"/>
      <c r="I205" s="400"/>
      <c r="J205" s="406" t="str">
        <f>IF(OR(ISBLANK(Tabla1[[#This Row],[M3 '[g'] PESO CRISOL+MUESTRA (SECA)]]),ISBLANK(Tabla1[[#This Row],[M1 '[g']]]),ISBLANK(Tabla1[[#This Row],[M4 '[g']  PESO CRISOL + CENIZAS]]),ISBLANK(Tabla1[[#This Row],[M5]])),"",Tabla1[[#This Row],[M3 '[g'] PESO CRISOL+MUESTRA (SECA)]]-Tabla1[[#This Row],[M1 '[g']]]-Tabla1[[#This Row],[M4 '[g']  PESO CRISOL + CENIZAS]]-Tabla1[[#This Row],[M5]])</f>
        <v/>
      </c>
      <c r="K205" s="407" t="str">
        <f>IF(OR(ISBLANK(Tabla1[[#This Row],[M3 '[g'] PESO CRISOL+MUESTRA (SECA)]]),ISBLANK(Tabla1[[#This Row],[M1 '[g']]]),ISBLANK(Tabla1[[#This Row],[M4 '[g']  PESO CRISOL + CENIZAS]])),"",Tabla1[[#This Row],[M3 '[g'] PESO CRISOL+MUESTRA (SECA)]]-Tabla1[[#This Row],[M1 '[g']]]-Tabla1[[#This Row],[M4 '[g']  PESO CRISOL + CENIZAS]])</f>
        <v/>
      </c>
      <c r="L205" s="407" t="str">
        <f>IF(ISNUMBER(Tabla1[[#This Row],[%FIBRA TOTAL]]),Tabla1[[#This Row],[%FIBRA TOTAL]]*(100-Tabla1[[#This Row],[%Grasa y/o % humedad En la Muestra g/100g]])/100,"")</f>
        <v/>
      </c>
      <c r="M205" s="393"/>
      <c r="N205" s="399"/>
      <c r="O205" s="411"/>
      <c r="P205" s="412"/>
      <c r="Q205" s="413"/>
      <c r="R205" s="413"/>
      <c r="T205" s="393"/>
      <c r="U205" s="393">
        <v>0</v>
      </c>
      <c r="V205" s="393"/>
    </row>
    <row r="206" spans="1:22" ht="15.75" customHeight="1" x14ac:dyDescent="0.3">
      <c r="A206" s="397"/>
      <c r="B206" s="398"/>
      <c r="C206" s="399"/>
      <c r="D206" s="399"/>
      <c r="E206" s="399"/>
      <c r="F206" s="399"/>
      <c r="G206" s="400"/>
      <c r="H206" s="400"/>
      <c r="I206" s="400"/>
      <c r="J206" s="406" t="str">
        <f>IF(OR(ISBLANK(Tabla1[[#This Row],[M3 '[g'] PESO CRISOL+MUESTRA (SECA)]]),ISBLANK(Tabla1[[#This Row],[M1 '[g']]]),ISBLANK(Tabla1[[#This Row],[M4 '[g']  PESO CRISOL + CENIZAS]]),ISBLANK(Tabla1[[#This Row],[M5]])),"",Tabla1[[#This Row],[M3 '[g'] PESO CRISOL+MUESTRA (SECA)]]-Tabla1[[#This Row],[M1 '[g']]]-Tabla1[[#This Row],[M4 '[g']  PESO CRISOL + CENIZAS]]-Tabla1[[#This Row],[M5]])</f>
        <v/>
      </c>
      <c r="K206" s="407" t="str">
        <f>IF(OR(ISBLANK(Tabla1[[#This Row],[M3 '[g'] PESO CRISOL+MUESTRA (SECA)]]),ISBLANK(Tabla1[[#This Row],[M1 '[g']]]),ISBLANK(Tabla1[[#This Row],[M4 '[g']  PESO CRISOL + CENIZAS]])),"",Tabla1[[#This Row],[M3 '[g'] PESO CRISOL+MUESTRA (SECA)]]-Tabla1[[#This Row],[M1 '[g']]]-Tabla1[[#This Row],[M4 '[g']  PESO CRISOL + CENIZAS]])</f>
        <v/>
      </c>
      <c r="L206" s="407" t="str">
        <f>IF(ISNUMBER(Tabla1[[#This Row],[%FIBRA TOTAL]]),Tabla1[[#This Row],[%FIBRA TOTAL]]*(100-Tabla1[[#This Row],[%Grasa y/o % humedad En la Muestra g/100g]])/100,"")</f>
        <v/>
      </c>
      <c r="M206" s="393"/>
      <c r="N206" s="399"/>
      <c r="O206" s="411"/>
      <c r="P206" s="412"/>
      <c r="Q206" s="413"/>
      <c r="R206" s="413"/>
      <c r="T206" s="393"/>
      <c r="U206" s="393">
        <v>0.04</v>
      </c>
      <c r="V206" s="393"/>
    </row>
    <row r="207" spans="1:22" ht="15.75" customHeight="1" x14ac:dyDescent="0.3">
      <c r="A207" s="397"/>
      <c r="B207" s="398"/>
      <c r="C207" s="399"/>
      <c r="D207" s="399"/>
      <c r="E207" s="399"/>
      <c r="F207" s="399"/>
      <c r="G207" s="400"/>
      <c r="H207" s="400"/>
      <c r="I207" s="400"/>
      <c r="J207" s="406" t="str">
        <f>IF(OR(ISBLANK(Tabla1[[#This Row],[M3 '[g'] PESO CRISOL+MUESTRA (SECA)]]),ISBLANK(Tabla1[[#This Row],[M1 '[g']]]),ISBLANK(Tabla1[[#This Row],[M4 '[g']  PESO CRISOL + CENIZAS]]),ISBLANK(Tabla1[[#This Row],[M5]])),"",Tabla1[[#This Row],[M3 '[g'] PESO CRISOL+MUESTRA (SECA)]]-Tabla1[[#This Row],[M1 '[g']]]-Tabla1[[#This Row],[M4 '[g']  PESO CRISOL + CENIZAS]]-Tabla1[[#This Row],[M5]])</f>
        <v/>
      </c>
      <c r="K207" s="407" t="str">
        <f>IF(OR(ISBLANK(Tabla1[[#This Row],[M3 '[g'] PESO CRISOL+MUESTRA (SECA)]]),ISBLANK(Tabla1[[#This Row],[M1 '[g']]]),ISBLANK(Tabla1[[#This Row],[M4 '[g']  PESO CRISOL + CENIZAS]])),"",Tabla1[[#This Row],[M3 '[g'] PESO CRISOL+MUESTRA (SECA)]]-Tabla1[[#This Row],[M1 '[g']]]-Tabla1[[#This Row],[M4 '[g']  PESO CRISOL + CENIZAS]])</f>
        <v/>
      </c>
      <c r="L207" s="407" t="str">
        <f>IF(ISNUMBER(Tabla1[[#This Row],[%FIBRA TOTAL]]),Tabla1[[#This Row],[%FIBRA TOTAL]]*(100-Tabla1[[#This Row],[%Grasa y/o % humedad En la Muestra g/100g]])/100,"")</f>
        <v/>
      </c>
      <c r="M207" s="393"/>
      <c r="N207" s="399"/>
      <c r="O207" s="411"/>
      <c r="P207" s="412"/>
      <c r="Q207" s="413"/>
      <c r="R207" s="413"/>
      <c r="T207" s="393"/>
      <c r="U207" s="393"/>
      <c r="V207" s="393"/>
    </row>
    <row r="208" spans="1:22" ht="15.75" customHeight="1" x14ac:dyDescent="0.3">
      <c r="A208" s="397"/>
      <c r="B208" s="398"/>
      <c r="C208" s="399"/>
      <c r="D208" s="399"/>
      <c r="E208" s="399"/>
      <c r="F208" s="399"/>
      <c r="G208" s="400"/>
      <c r="H208" s="400"/>
      <c r="I208" s="400"/>
      <c r="J208" s="406" t="str">
        <f>IF(OR(ISBLANK(Tabla1[[#This Row],[M3 '[g'] PESO CRISOL+MUESTRA (SECA)]]),ISBLANK(Tabla1[[#This Row],[M1 '[g']]]),ISBLANK(Tabla1[[#This Row],[M4 '[g']  PESO CRISOL + CENIZAS]]),ISBLANK(Tabla1[[#This Row],[M5]])),"",Tabla1[[#This Row],[M3 '[g'] PESO CRISOL+MUESTRA (SECA)]]-Tabla1[[#This Row],[M1 '[g']]]-Tabla1[[#This Row],[M4 '[g']  PESO CRISOL + CENIZAS]]-Tabla1[[#This Row],[M5]])</f>
        <v/>
      </c>
      <c r="K208" s="407" t="str">
        <f>IF(OR(ISBLANK(Tabla1[[#This Row],[M3 '[g'] PESO CRISOL+MUESTRA (SECA)]]),ISBLANK(Tabla1[[#This Row],[M1 '[g']]]),ISBLANK(Tabla1[[#This Row],[M4 '[g']  PESO CRISOL + CENIZAS]])),"",Tabla1[[#This Row],[M3 '[g'] PESO CRISOL+MUESTRA (SECA)]]-Tabla1[[#This Row],[M1 '[g']]]-Tabla1[[#This Row],[M4 '[g']  PESO CRISOL + CENIZAS]])</f>
        <v/>
      </c>
      <c r="L208" s="407" t="str">
        <f>IF(ISNUMBER(Tabla1[[#This Row],[%FIBRA TOTAL]]),Tabla1[[#This Row],[%FIBRA TOTAL]]*(100-Tabla1[[#This Row],[%Grasa y/o % humedad En la Muestra g/100g]])/100,"")</f>
        <v/>
      </c>
      <c r="M208" s="393"/>
      <c r="N208" s="399"/>
      <c r="O208" s="411"/>
      <c r="P208" s="412"/>
      <c r="Q208" s="413"/>
      <c r="R208" s="413"/>
      <c r="T208" s="393"/>
      <c r="U208" s="393">
        <v>0</v>
      </c>
      <c r="V208" s="393"/>
    </row>
    <row r="209" spans="1:22" ht="15.75" customHeight="1" x14ac:dyDescent="0.3">
      <c r="A209" s="397"/>
      <c r="B209" s="398"/>
      <c r="C209" s="399"/>
      <c r="D209" s="399"/>
      <c r="E209" s="399"/>
      <c r="F209" s="399"/>
      <c r="G209" s="400"/>
      <c r="H209" s="400"/>
      <c r="I209" s="400"/>
      <c r="J209" s="406" t="str">
        <f>IF(OR(ISBLANK(Tabla1[[#This Row],[M3 '[g'] PESO CRISOL+MUESTRA (SECA)]]),ISBLANK(Tabla1[[#This Row],[M1 '[g']]]),ISBLANK(Tabla1[[#This Row],[M4 '[g']  PESO CRISOL + CENIZAS]]),ISBLANK(Tabla1[[#This Row],[M5]])),"",Tabla1[[#This Row],[M3 '[g'] PESO CRISOL+MUESTRA (SECA)]]-Tabla1[[#This Row],[M1 '[g']]]-Tabla1[[#This Row],[M4 '[g']  PESO CRISOL + CENIZAS]]-Tabla1[[#This Row],[M5]])</f>
        <v/>
      </c>
      <c r="K209" s="407" t="str">
        <f>IF(OR(ISBLANK(Tabla1[[#This Row],[M3 '[g'] PESO CRISOL+MUESTRA (SECA)]]),ISBLANK(Tabla1[[#This Row],[M1 '[g']]]),ISBLANK(Tabla1[[#This Row],[M4 '[g']  PESO CRISOL + CENIZAS]])),"",Tabla1[[#This Row],[M3 '[g'] PESO CRISOL+MUESTRA (SECA)]]-Tabla1[[#This Row],[M1 '[g']]]-Tabla1[[#This Row],[M4 '[g']  PESO CRISOL + CENIZAS]])</f>
        <v/>
      </c>
      <c r="L209" s="407" t="str">
        <f>IF(ISNUMBER(Tabla1[[#This Row],[%FIBRA TOTAL]]),Tabla1[[#This Row],[%FIBRA TOTAL]]*(100-Tabla1[[#This Row],[%Grasa y/o % humedad En la Muestra g/100g]])/100,"")</f>
        <v/>
      </c>
      <c r="M209" s="393"/>
      <c r="N209" s="399"/>
      <c r="O209" s="411"/>
      <c r="P209" s="412"/>
      <c r="Q209" s="413"/>
      <c r="R209" s="413"/>
      <c r="T209" s="393"/>
      <c r="U209" s="393">
        <v>-0.01</v>
      </c>
      <c r="V209" s="393"/>
    </row>
    <row r="210" spans="1:22" ht="15.75" customHeight="1" x14ac:dyDescent="0.3">
      <c r="A210" s="397"/>
      <c r="B210" s="398"/>
      <c r="C210" s="399"/>
      <c r="D210" s="399"/>
      <c r="E210" s="399"/>
      <c r="F210" s="399"/>
      <c r="G210" s="400"/>
      <c r="H210" s="400"/>
      <c r="I210" s="400"/>
      <c r="J210" s="406" t="str">
        <f>IF(OR(ISBLANK(Tabla1[[#This Row],[M3 '[g'] PESO CRISOL+MUESTRA (SECA)]]),ISBLANK(Tabla1[[#This Row],[M1 '[g']]]),ISBLANK(Tabla1[[#This Row],[M4 '[g']  PESO CRISOL + CENIZAS]]),ISBLANK(Tabla1[[#This Row],[M5]])),"",Tabla1[[#This Row],[M3 '[g'] PESO CRISOL+MUESTRA (SECA)]]-Tabla1[[#This Row],[M1 '[g']]]-Tabla1[[#This Row],[M4 '[g']  PESO CRISOL + CENIZAS]]-Tabla1[[#This Row],[M5]])</f>
        <v/>
      </c>
      <c r="K210" s="407" t="str">
        <f>IF(OR(ISBLANK(Tabla1[[#This Row],[M3 '[g'] PESO CRISOL+MUESTRA (SECA)]]),ISBLANK(Tabla1[[#This Row],[M1 '[g']]]),ISBLANK(Tabla1[[#This Row],[M4 '[g']  PESO CRISOL + CENIZAS]])),"",Tabla1[[#This Row],[M3 '[g'] PESO CRISOL+MUESTRA (SECA)]]-Tabla1[[#This Row],[M1 '[g']]]-Tabla1[[#This Row],[M4 '[g']  PESO CRISOL + CENIZAS]])</f>
        <v/>
      </c>
      <c r="L210" s="407" t="str">
        <f>IF(ISNUMBER(Tabla1[[#This Row],[%FIBRA TOTAL]]),Tabla1[[#This Row],[%FIBRA TOTAL]]*(100-Tabla1[[#This Row],[%Grasa y/o % humedad En la Muestra g/100g]])/100,"")</f>
        <v/>
      </c>
      <c r="M210" s="393"/>
      <c r="N210" s="399"/>
      <c r="O210" s="411"/>
      <c r="P210" s="412"/>
      <c r="Q210" s="413"/>
      <c r="R210" s="413"/>
      <c r="T210" s="393"/>
      <c r="U210" s="393"/>
      <c r="V210" s="393"/>
    </row>
    <row r="211" spans="1:22" ht="15.75" customHeight="1" x14ac:dyDescent="0.3">
      <c r="A211" s="397"/>
      <c r="B211" s="398"/>
      <c r="C211" s="399"/>
      <c r="D211" s="399"/>
      <c r="E211" s="399"/>
      <c r="F211" s="399"/>
      <c r="G211" s="400"/>
      <c r="H211" s="400"/>
      <c r="I211" s="400"/>
      <c r="J211" s="406" t="str">
        <f>IF(OR(ISBLANK(Tabla1[[#This Row],[M3 '[g'] PESO CRISOL+MUESTRA (SECA)]]),ISBLANK(Tabla1[[#This Row],[M1 '[g']]]),ISBLANK(Tabla1[[#This Row],[M4 '[g']  PESO CRISOL + CENIZAS]]),ISBLANK(Tabla1[[#This Row],[M5]])),"",Tabla1[[#This Row],[M3 '[g'] PESO CRISOL+MUESTRA (SECA)]]-Tabla1[[#This Row],[M1 '[g']]]-Tabla1[[#This Row],[M4 '[g']  PESO CRISOL + CENIZAS]]-Tabla1[[#This Row],[M5]])</f>
        <v/>
      </c>
      <c r="K211" s="407" t="str">
        <f>IF(OR(ISBLANK(Tabla1[[#This Row],[M3 '[g'] PESO CRISOL+MUESTRA (SECA)]]),ISBLANK(Tabla1[[#This Row],[M1 '[g']]]),ISBLANK(Tabla1[[#This Row],[M4 '[g']  PESO CRISOL + CENIZAS]])),"",Tabla1[[#This Row],[M3 '[g'] PESO CRISOL+MUESTRA (SECA)]]-Tabla1[[#This Row],[M1 '[g']]]-Tabla1[[#This Row],[M4 '[g']  PESO CRISOL + CENIZAS]])</f>
        <v/>
      </c>
      <c r="L211" s="407" t="str">
        <f>IF(ISNUMBER(Tabla1[[#This Row],[%FIBRA TOTAL]]),Tabla1[[#This Row],[%FIBRA TOTAL]]*(100-Tabla1[[#This Row],[%Grasa y/o % humedad En la Muestra g/100g]])/100,"")</f>
        <v/>
      </c>
      <c r="M211" s="393"/>
      <c r="N211" s="399"/>
      <c r="O211" s="411"/>
      <c r="P211" s="412"/>
      <c r="Q211" s="413"/>
      <c r="R211" s="413"/>
      <c r="T211" s="393" t="s">
        <v>1219</v>
      </c>
      <c r="U211" s="393">
        <f>+STDEV(U185:U209)</f>
        <v>2.2173557826083452E-2</v>
      </c>
      <c r="V211" s="393"/>
    </row>
    <row r="212" spans="1:22" ht="15.75" customHeight="1" x14ac:dyDescent="0.3">
      <c r="A212" s="397"/>
      <c r="B212" s="398"/>
      <c r="C212" s="399"/>
      <c r="D212" s="399"/>
      <c r="E212" s="399"/>
      <c r="F212" s="399"/>
      <c r="G212" s="400"/>
      <c r="H212" s="400"/>
      <c r="I212" s="400"/>
      <c r="J212" s="406" t="str">
        <f>IF(OR(ISBLANK(Tabla1[[#This Row],[M3 '[g'] PESO CRISOL+MUESTRA (SECA)]]),ISBLANK(Tabla1[[#This Row],[M1 '[g']]]),ISBLANK(Tabla1[[#This Row],[M4 '[g']  PESO CRISOL + CENIZAS]]),ISBLANK(Tabla1[[#This Row],[M5]])),"",Tabla1[[#This Row],[M3 '[g'] PESO CRISOL+MUESTRA (SECA)]]-Tabla1[[#This Row],[M1 '[g']]]-Tabla1[[#This Row],[M4 '[g']  PESO CRISOL + CENIZAS]]-Tabla1[[#This Row],[M5]])</f>
        <v/>
      </c>
      <c r="K212" s="407" t="str">
        <f>IF(OR(ISBLANK(Tabla1[[#This Row],[M3 '[g'] PESO CRISOL+MUESTRA (SECA)]]),ISBLANK(Tabla1[[#This Row],[M1 '[g']]]),ISBLANK(Tabla1[[#This Row],[M4 '[g']  PESO CRISOL + CENIZAS]])),"",Tabla1[[#This Row],[M3 '[g'] PESO CRISOL+MUESTRA (SECA)]]-Tabla1[[#This Row],[M1 '[g']]]-Tabla1[[#This Row],[M4 '[g']  PESO CRISOL + CENIZAS]])</f>
        <v/>
      </c>
      <c r="L212" s="407" t="str">
        <f>IF(ISNUMBER(Tabla1[[#This Row],[%FIBRA TOTAL]]),Tabla1[[#This Row],[%FIBRA TOTAL]]*(100-Tabla1[[#This Row],[%Grasa y/o % humedad En la Muestra g/100g]])/100,"")</f>
        <v/>
      </c>
      <c r="M212" s="393"/>
      <c r="N212" s="399"/>
      <c r="O212" s="411"/>
      <c r="P212" s="412"/>
      <c r="Q212" s="413"/>
      <c r="R212" s="413"/>
      <c r="T212" s="393" t="s">
        <v>1220</v>
      </c>
      <c r="U212" s="393">
        <f>+AVERAGE(U185:U209)</f>
        <v>7.4999999999999997E-3</v>
      </c>
      <c r="V212" s="393"/>
    </row>
    <row r="213" spans="1:22" ht="15.75" customHeight="1" x14ac:dyDescent="0.3">
      <c r="A213" s="397"/>
      <c r="B213" s="398"/>
      <c r="C213" s="399"/>
      <c r="D213" s="399"/>
      <c r="E213" s="399"/>
      <c r="F213" s="399"/>
      <c r="G213" s="400"/>
      <c r="H213" s="400"/>
      <c r="I213" s="400"/>
      <c r="J213" s="406" t="str">
        <f>IF(OR(ISBLANK(Tabla1[[#This Row],[M3 '[g'] PESO CRISOL+MUESTRA (SECA)]]),ISBLANK(Tabla1[[#This Row],[M1 '[g']]]),ISBLANK(Tabla1[[#This Row],[M4 '[g']  PESO CRISOL + CENIZAS]]),ISBLANK(Tabla1[[#This Row],[M5]])),"",Tabla1[[#This Row],[M3 '[g'] PESO CRISOL+MUESTRA (SECA)]]-Tabla1[[#This Row],[M1 '[g']]]-Tabla1[[#This Row],[M4 '[g']  PESO CRISOL + CENIZAS]]-Tabla1[[#This Row],[M5]])</f>
        <v/>
      </c>
      <c r="K213" s="407" t="str">
        <f>IF(OR(ISBLANK(Tabla1[[#This Row],[M3 '[g'] PESO CRISOL+MUESTRA (SECA)]]),ISBLANK(Tabla1[[#This Row],[M1 '[g']]]),ISBLANK(Tabla1[[#This Row],[M4 '[g']  PESO CRISOL + CENIZAS]])),"",Tabla1[[#This Row],[M3 '[g'] PESO CRISOL+MUESTRA (SECA)]]-Tabla1[[#This Row],[M1 '[g']]]-Tabla1[[#This Row],[M4 '[g']  PESO CRISOL + CENIZAS]])</f>
        <v/>
      </c>
      <c r="L213" s="407" t="str">
        <f>IF(ISNUMBER(Tabla1[[#This Row],[%FIBRA TOTAL]]),Tabla1[[#This Row],[%FIBRA TOTAL]]*(100-Tabla1[[#This Row],[%Grasa y/o % humedad En la Muestra g/100g]])/100,"")</f>
        <v/>
      </c>
      <c r="M213" s="393"/>
      <c r="N213" s="399"/>
      <c r="O213" s="411"/>
      <c r="P213" s="412"/>
      <c r="Q213" s="413"/>
      <c r="R213" s="413"/>
      <c r="T213" s="393"/>
      <c r="U213" s="393"/>
      <c r="V213" s="393"/>
    </row>
    <row r="214" spans="1:22" ht="15.75" customHeight="1" x14ac:dyDescent="0.3">
      <c r="A214" s="397"/>
      <c r="B214" s="398"/>
      <c r="C214" s="399"/>
      <c r="D214" s="399"/>
      <c r="E214" s="399"/>
      <c r="F214" s="399"/>
      <c r="G214" s="400"/>
      <c r="H214" s="400"/>
      <c r="I214" s="400"/>
      <c r="J214" s="406" t="str">
        <f>IF(OR(ISBLANK(Tabla1[[#This Row],[M3 '[g'] PESO CRISOL+MUESTRA (SECA)]]),ISBLANK(Tabla1[[#This Row],[M1 '[g']]]),ISBLANK(Tabla1[[#This Row],[M4 '[g']  PESO CRISOL + CENIZAS]]),ISBLANK(Tabla1[[#This Row],[M5]])),"",Tabla1[[#This Row],[M3 '[g'] PESO CRISOL+MUESTRA (SECA)]]-Tabla1[[#This Row],[M1 '[g']]]-Tabla1[[#This Row],[M4 '[g']  PESO CRISOL + CENIZAS]]-Tabla1[[#This Row],[M5]])</f>
        <v/>
      </c>
      <c r="K214" s="407" t="str">
        <f>IF(OR(ISBLANK(Tabla1[[#This Row],[M3 '[g'] PESO CRISOL+MUESTRA (SECA)]]),ISBLANK(Tabla1[[#This Row],[M1 '[g']]]),ISBLANK(Tabla1[[#This Row],[M4 '[g']  PESO CRISOL + CENIZAS]])),"",Tabla1[[#This Row],[M3 '[g'] PESO CRISOL+MUESTRA (SECA)]]-Tabla1[[#This Row],[M1 '[g']]]-Tabla1[[#This Row],[M4 '[g']  PESO CRISOL + CENIZAS]])</f>
        <v/>
      </c>
      <c r="L214" s="407" t="str">
        <f>IF(ISNUMBER(Tabla1[[#This Row],[%FIBRA TOTAL]]),Tabla1[[#This Row],[%FIBRA TOTAL]]*(100-Tabla1[[#This Row],[%Grasa y/o % humedad En la Muestra g/100g]])/100,"")</f>
        <v/>
      </c>
      <c r="M214" s="393"/>
      <c r="N214" s="399"/>
      <c r="O214" s="411"/>
      <c r="P214" s="412"/>
      <c r="Q214" s="413"/>
      <c r="R214" s="413"/>
      <c r="T214" s="393"/>
      <c r="U214" s="393">
        <f>+U212+3*U211</f>
        <v>7.4020673478250365E-2</v>
      </c>
      <c r="V214" s="393"/>
    </row>
    <row r="215" spans="1:22" ht="15.75" customHeight="1" x14ac:dyDescent="0.3">
      <c r="A215" s="397"/>
      <c r="B215" s="398"/>
      <c r="C215" s="399"/>
      <c r="D215" s="399"/>
      <c r="E215" s="399"/>
      <c r="F215" s="399"/>
      <c r="G215" s="400"/>
      <c r="H215" s="400"/>
      <c r="I215" s="400"/>
      <c r="J215" s="406" t="str">
        <f>IF(OR(ISBLANK(Tabla1[[#This Row],[M3 '[g'] PESO CRISOL+MUESTRA (SECA)]]),ISBLANK(Tabla1[[#This Row],[M1 '[g']]]),ISBLANK(Tabla1[[#This Row],[M4 '[g']  PESO CRISOL + CENIZAS]]),ISBLANK(Tabla1[[#This Row],[M5]])),"",Tabla1[[#This Row],[M3 '[g'] PESO CRISOL+MUESTRA (SECA)]]-Tabla1[[#This Row],[M1 '[g']]]-Tabla1[[#This Row],[M4 '[g']  PESO CRISOL + CENIZAS]]-Tabla1[[#This Row],[M5]])</f>
        <v/>
      </c>
      <c r="K215" s="407" t="str">
        <f>IF(OR(ISBLANK(Tabla1[[#This Row],[M3 '[g'] PESO CRISOL+MUESTRA (SECA)]]),ISBLANK(Tabla1[[#This Row],[M1 '[g']]]),ISBLANK(Tabla1[[#This Row],[M4 '[g']  PESO CRISOL + CENIZAS]])),"",Tabla1[[#This Row],[M3 '[g'] PESO CRISOL+MUESTRA (SECA)]]-Tabla1[[#This Row],[M1 '[g']]]-Tabla1[[#This Row],[M4 '[g']  PESO CRISOL + CENIZAS]])</f>
        <v/>
      </c>
      <c r="L215" s="407" t="str">
        <f>IF(ISNUMBER(Tabla1[[#This Row],[%FIBRA TOTAL]]),Tabla1[[#This Row],[%FIBRA TOTAL]]*(100-Tabla1[[#This Row],[%Grasa y/o % humedad En la Muestra g/100g]])/100,"")</f>
        <v/>
      </c>
      <c r="M215" s="393"/>
      <c r="N215" s="399"/>
      <c r="O215" s="411"/>
      <c r="P215" s="412"/>
      <c r="Q215" s="413"/>
      <c r="R215" s="413"/>
    </row>
    <row r="216" spans="1:22" ht="15.75" customHeight="1" x14ac:dyDescent="0.3">
      <c r="A216" s="397"/>
      <c r="B216" s="398"/>
      <c r="C216" s="399"/>
      <c r="D216" s="399"/>
      <c r="E216" s="399"/>
      <c r="F216" s="399"/>
      <c r="G216" s="400"/>
      <c r="H216" s="400"/>
      <c r="I216" s="400"/>
      <c r="J216" s="406" t="str">
        <f>IF(OR(ISBLANK(Tabla1[[#This Row],[M3 '[g'] PESO CRISOL+MUESTRA (SECA)]]),ISBLANK(Tabla1[[#This Row],[M1 '[g']]]),ISBLANK(Tabla1[[#This Row],[M4 '[g']  PESO CRISOL + CENIZAS]]),ISBLANK(Tabla1[[#This Row],[M5]])),"",Tabla1[[#This Row],[M3 '[g'] PESO CRISOL+MUESTRA (SECA)]]-Tabla1[[#This Row],[M1 '[g']]]-Tabla1[[#This Row],[M4 '[g']  PESO CRISOL + CENIZAS]]-Tabla1[[#This Row],[M5]])</f>
        <v/>
      </c>
      <c r="K216" s="407" t="str">
        <f>IF(OR(ISBLANK(Tabla1[[#This Row],[M3 '[g'] PESO CRISOL+MUESTRA (SECA)]]),ISBLANK(Tabla1[[#This Row],[M1 '[g']]]),ISBLANK(Tabla1[[#This Row],[M4 '[g']  PESO CRISOL + CENIZAS]])),"",Tabla1[[#This Row],[M3 '[g'] PESO CRISOL+MUESTRA (SECA)]]-Tabla1[[#This Row],[M1 '[g']]]-Tabla1[[#This Row],[M4 '[g']  PESO CRISOL + CENIZAS]])</f>
        <v/>
      </c>
      <c r="L216" s="407" t="str">
        <f>IF(ISNUMBER(Tabla1[[#This Row],[%FIBRA TOTAL]]),Tabla1[[#This Row],[%FIBRA TOTAL]]*(100-Tabla1[[#This Row],[%Grasa y/o % humedad En la Muestra g/100g]])/100,"")</f>
        <v/>
      </c>
      <c r="M216" s="393"/>
      <c r="N216" s="399"/>
      <c r="O216" s="411"/>
      <c r="P216" s="412"/>
      <c r="Q216" s="413"/>
      <c r="R216" s="413"/>
    </row>
    <row r="217" spans="1:22" ht="15.75" customHeight="1" x14ac:dyDescent="0.3">
      <c r="A217" s="397"/>
      <c r="B217" s="398"/>
      <c r="C217" s="399"/>
      <c r="D217" s="399"/>
      <c r="E217" s="399"/>
      <c r="F217" s="399"/>
      <c r="G217" s="400"/>
      <c r="H217" s="400"/>
      <c r="I217" s="400"/>
      <c r="J217" s="406" t="str">
        <f>IF(OR(ISBLANK(Tabla1[[#This Row],[M3 '[g'] PESO CRISOL+MUESTRA (SECA)]]),ISBLANK(Tabla1[[#This Row],[M1 '[g']]]),ISBLANK(Tabla1[[#This Row],[M4 '[g']  PESO CRISOL + CENIZAS]]),ISBLANK(Tabla1[[#This Row],[M5]])),"",Tabla1[[#This Row],[M3 '[g'] PESO CRISOL+MUESTRA (SECA)]]-Tabla1[[#This Row],[M1 '[g']]]-Tabla1[[#This Row],[M4 '[g']  PESO CRISOL + CENIZAS]]-Tabla1[[#This Row],[M5]])</f>
        <v/>
      </c>
      <c r="K217" s="407" t="str">
        <f>IF(OR(ISBLANK(Tabla1[[#This Row],[M3 '[g'] PESO CRISOL+MUESTRA (SECA)]]),ISBLANK(Tabla1[[#This Row],[M1 '[g']]]),ISBLANK(Tabla1[[#This Row],[M4 '[g']  PESO CRISOL + CENIZAS]])),"",Tabla1[[#This Row],[M3 '[g'] PESO CRISOL+MUESTRA (SECA)]]-Tabla1[[#This Row],[M1 '[g']]]-Tabla1[[#This Row],[M4 '[g']  PESO CRISOL + CENIZAS]])</f>
        <v/>
      </c>
      <c r="L217" s="407" t="str">
        <f>IF(ISNUMBER(Tabla1[[#This Row],[%FIBRA TOTAL]]),Tabla1[[#This Row],[%FIBRA TOTAL]]*(100-Tabla1[[#This Row],[%Grasa y/o % humedad En la Muestra g/100g]])/100,"")</f>
        <v/>
      </c>
      <c r="M217" s="393"/>
      <c r="N217" s="399"/>
      <c r="O217" s="411"/>
      <c r="P217" s="412"/>
      <c r="Q217" s="413"/>
      <c r="R217" s="413"/>
    </row>
    <row r="218" spans="1:22" ht="15.75" customHeight="1" x14ac:dyDescent="0.3">
      <c r="A218" s="397"/>
      <c r="B218" s="398"/>
      <c r="C218" s="399"/>
      <c r="D218" s="399"/>
      <c r="E218" s="399"/>
      <c r="F218" s="399"/>
      <c r="G218" s="400"/>
      <c r="H218" s="400"/>
      <c r="I218" s="400"/>
      <c r="J218" s="406" t="str">
        <f>IF(OR(ISBLANK(Tabla1[[#This Row],[M3 '[g'] PESO CRISOL+MUESTRA (SECA)]]),ISBLANK(Tabla1[[#This Row],[M1 '[g']]]),ISBLANK(Tabla1[[#This Row],[M4 '[g']  PESO CRISOL + CENIZAS]]),ISBLANK(Tabla1[[#This Row],[M5]])),"",Tabla1[[#This Row],[M3 '[g'] PESO CRISOL+MUESTRA (SECA)]]-Tabla1[[#This Row],[M1 '[g']]]-Tabla1[[#This Row],[M4 '[g']  PESO CRISOL + CENIZAS]]-Tabla1[[#This Row],[M5]])</f>
        <v/>
      </c>
      <c r="K218" s="407" t="str">
        <f>IF(OR(ISBLANK(Tabla1[[#This Row],[M3 '[g'] PESO CRISOL+MUESTRA (SECA)]]),ISBLANK(Tabla1[[#This Row],[M1 '[g']]]),ISBLANK(Tabla1[[#This Row],[M4 '[g']  PESO CRISOL + CENIZAS]])),"",Tabla1[[#This Row],[M3 '[g'] PESO CRISOL+MUESTRA (SECA)]]-Tabla1[[#This Row],[M1 '[g']]]-Tabla1[[#This Row],[M4 '[g']  PESO CRISOL + CENIZAS]])</f>
        <v/>
      </c>
      <c r="L218" s="407" t="str">
        <f>IF(ISNUMBER(Tabla1[[#This Row],[%FIBRA TOTAL]]),Tabla1[[#This Row],[%FIBRA TOTAL]]*(100-Tabla1[[#This Row],[%Grasa y/o % humedad En la Muestra g/100g]])/100,"")</f>
        <v/>
      </c>
      <c r="M218" s="393"/>
      <c r="N218" s="399"/>
      <c r="O218" s="411"/>
      <c r="P218" s="412"/>
      <c r="Q218" s="413"/>
      <c r="R218" s="413"/>
    </row>
    <row r="219" spans="1:22" ht="15.75" customHeight="1" x14ac:dyDescent="0.3">
      <c r="A219" s="397"/>
      <c r="B219" s="398"/>
      <c r="C219" s="399"/>
      <c r="D219" s="399"/>
      <c r="E219" s="399"/>
      <c r="F219" s="399"/>
      <c r="G219" s="400"/>
      <c r="H219" s="400"/>
      <c r="I219" s="400"/>
      <c r="J219" s="406" t="str">
        <f>IF(OR(ISBLANK(Tabla1[[#This Row],[M3 '[g'] PESO CRISOL+MUESTRA (SECA)]]),ISBLANK(Tabla1[[#This Row],[M1 '[g']]]),ISBLANK(Tabla1[[#This Row],[M4 '[g']  PESO CRISOL + CENIZAS]]),ISBLANK(Tabla1[[#This Row],[M5]])),"",Tabla1[[#This Row],[M3 '[g'] PESO CRISOL+MUESTRA (SECA)]]-Tabla1[[#This Row],[M1 '[g']]]-Tabla1[[#This Row],[M4 '[g']  PESO CRISOL + CENIZAS]]-Tabla1[[#This Row],[M5]])</f>
        <v/>
      </c>
      <c r="K219" s="407" t="str">
        <f>IF(OR(ISBLANK(Tabla1[[#This Row],[M3 '[g'] PESO CRISOL+MUESTRA (SECA)]]),ISBLANK(Tabla1[[#This Row],[M1 '[g']]]),ISBLANK(Tabla1[[#This Row],[M4 '[g']  PESO CRISOL + CENIZAS]])),"",Tabla1[[#This Row],[M3 '[g'] PESO CRISOL+MUESTRA (SECA)]]-Tabla1[[#This Row],[M1 '[g']]]-Tabla1[[#This Row],[M4 '[g']  PESO CRISOL + CENIZAS]])</f>
        <v/>
      </c>
      <c r="L219" s="407" t="str">
        <f>IF(ISNUMBER(Tabla1[[#This Row],[%FIBRA TOTAL]]),Tabla1[[#This Row],[%FIBRA TOTAL]]*(100-Tabla1[[#This Row],[%Grasa y/o % humedad En la Muestra g/100g]])/100,"")</f>
        <v/>
      </c>
      <c r="M219" s="393"/>
      <c r="N219" s="399"/>
      <c r="O219" s="411"/>
      <c r="P219" s="412"/>
      <c r="Q219" s="413"/>
      <c r="R219" s="413"/>
    </row>
    <row r="220" spans="1:22" ht="15.75" customHeight="1" x14ac:dyDescent="0.3">
      <c r="A220" s="397"/>
      <c r="B220" s="398"/>
      <c r="C220" s="399"/>
      <c r="D220" s="399"/>
      <c r="E220" s="399"/>
      <c r="F220" s="399"/>
      <c r="G220" s="400"/>
      <c r="H220" s="400"/>
      <c r="I220" s="400"/>
      <c r="J220" s="406" t="str">
        <f>IF(OR(ISBLANK(Tabla1[[#This Row],[M3 '[g'] PESO CRISOL+MUESTRA (SECA)]]),ISBLANK(Tabla1[[#This Row],[M1 '[g']]]),ISBLANK(Tabla1[[#This Row],[M4 '[g']  PESO CRISOL + CENIZAS]]),ISBLANK(Tabla1[[#This Row],[M5]])),"",Tabla1[[#This Row],[M3 '[g'] PESO CRISOL+MUESTRA (SECA)]]-Tabla1[[#This Row],[M1 '[g']]]-Tabla1[[#This Row],[M4 '[g']  PESO CRISOL + CENIZAS]]-Tabla1[[#This Row],[M5]])</f>
        <v/>
      </c>
      <c r="K220" s="407" t="str">
        <f>IF(OR(ISBLANK(Tabla1[[#This Row],[M3 '[g'] PESO CRISOL+MUESTRA (SECA)]]),ISBLANK(Tabla1[[#This Row],[M1 '[g']]]),ISBLANK(Tabla1[[#This Row],[M4 '[g']  PESO CRISOL + CENIZAS]])),"",Tabla1[[#This Row],[M3 '[g'] PESO CRISOL+MUESTRA (SECA)]]-Tabla1[[#This Row],[M1 '[g']]]-Tabla1[[#This Row],[M4 '[g']  PESO CRISOL + CENIZAS]])</f>
        <v/>
      </c>
      <c r="L220" s="407" t="str">
        <f>IF(ISNUMBER(Tabla1[[#This Row],[%FIBRA TOTAL]]),Tabla1[[#This Row],[%FIBRA TOTAL]]*(100-Tabla1[[#This Row],[%Grasa y/o % humedad En la Muestra g/100g]])/100,"")</f>
        <v/>
      </c>
      <c r="M220" s="393"/>
      <c r="N220" s="399"/>
      <c r="O220" s="411"/>
      <c r="P220" s="412"/>
      <c r="Q220" s="413"/>
      <c r="R220" s="413"/>
    </row>
    <row r="221" spans="1:22" ht="15.75" customHeight="1" x14ac:dyDescent="0.3">
      <c r="A221" s="397"/>
      <c r="B221" s="398"/>
      <c r="C221" s="399"/>
      <c r="D221" s="399"/>
      <c r="E221" s="399"/>
      <c r="F221" s="399"/>
      <c r="G221" s="400"/>
      <c r="H221" s="400"/>
      <c r="I221" s="400"/>
      <c r="J221" s="406" t="str">
        <f>IF(OR(ISBLANK(Tabla1[[#This Row],[M3 '[g'] PESO CRISOL+MUESTRA (SECA)]]),ISBLANK(Tabla1[[#This Row],[M1 '[g']]]),ISBLANK(Tabla1[[#This Row],[M4 '[g']  PESO CRISOL + CENIZAS]]),ISBLANK(Tabla1[[#This Row],[M5]])),"",Tabla1[[#This Row],[M3 '[g'] PESO CRISOL+MUESTRA (SECA)]]-Tabla1[[#This Row],[M1 '[g']]]-Tabla1[[#This Row],[M4 '[g']  PESO CRISOL + CENIZAS]]-Tabla1[[#This Row],[M5]])</f>
        <v/>
      </c>
      <c r="K221" s="407" t="str">
        <f>IF(OR(ISBLANK(Tabla1[[#This Row],[M3 '[g'] PESO CRISOL+MUESTRA (SECA)]]),ISBLANK(Tabla1[[#This Row],[M1 '[g']]]),ISBLANK(Tabla1[[#This Row],[M4 '[g']  PESO CRISOL + CENIZAS]])),"",Tabla1[[#This Row],[M3 '[g'] PESO CRISOL+MUESTRA (SECA)]]-Tabla1[[#This Row],[M1 '[g']]]-Tabla1[[#This Row],[M4 '[g']  PESO CRISOL + CENIZAS]])</f>
        <v/>
      </c>
      <c r="L221" s="407" t="str">
        <f>IF(ISNUMBER(Tabla1[[#This Row],[%FIBRA TOTAL]]),Tabla1[[#This Row],[%FIBRA TOTAL]]*(100-Tabla1[[#This Row],[%Grasa y/o % humedad En la Muestra g/100g]])/100,"")</f>
        <v/>
      </c>
      <c r="M221" s="393"/>
      <c r="N221" s="399"/>
      <c r="O221" s="411"/>
      <c r="P221" s="412"/>
      <c r="Q221" s="413"/>
      <c r="R221" s="413"/>
    </row>
    <row r="222" spans="1:22" ht="15.75" customHeight="1" x14ac:dyDescent="0.3">
      <c r="A222" s="397"/>
      <c r="B222" s="398"/>
      <c r="C222" s="399"/>
      <c r="D222" s="399"/>
      <c r="E222" s="399"/>
      <c r="F222" s="399"/>
      <c r="G222" s="400"/>
      <c r="H222" s="400"/>
      <c r="I222" s="400"/>
      <c r="J222" s="406" t="str">
        <f>IF(OR(ISBLANK(Tabla1[[#This Row],[M3 '[g'] PESO CRISOL+MUESTRA (SECA)]]),ISBLANK(Tabla1[[#This Row],[M1 '[g']]]),ISBLANK(Tabla1[[#This Row],[M4 '[g']  PESO CRISOL + CENIZAS]]),ISBLANK(Tabla1[[#This Row],[M5]])),"",Tabla1[[#This Row],[M3 '[g'] PESO CRISOL+MUESTRA (SECA)]]-Tabla1[[#This Row],[M1 '[g']]]-Tabla1[[#This Row],[M4 '[g']  PESO CRISOL + CENIZAS]]-Tabla1[[#This Row],[M5]])</f>
        <v/>
      </c>
      <c r="K222" s="407" t="str">
        <f>IF(OR(ISBLANK(Tabla1[[#This Row],[M3 '[g'] PESO CRISOL+MUESTRA (SECA)]]),ISBLANK(Tabla1[[#This Row],[M1 '[g']]]),ISBLANK(Tabla1[[#This Row],[M4 '[g']  PESO CRISOL + CENIZAS]])),"",Tabla1[[#This Row],[M3 '[g'] PESO CRISOL+MUESTRA (SECA)]]-Tabla1[[#This Row],[M1 '[g']]]-Tabla1[[#This Row],[M4 '[g']  PESO CRISOL + CENIZAS]])</f>
        <v/>
      </c>
      <c r="L222" s="407" t="str">
        <f>IF(ISNUMBER(Tabla1[[#This Row],[%FIBRA TOTAL]]),Tabla1[[#This Row],[%FIBRA TOTAL]]*(100-Tabla1[[#This Row],[%Grasa y/o % humedad En la Muestra g/100g]])/100,"")</f>
        <v/>
      </c>
      <c r="M222" s="393"/>
      <c r="N222" s="399"/>
      <c r="O222" s="411"/>
      <c r="P222" s="412"/>
      <c r="Q222" s="413"/>
      <c r="R222" s="413"/>
    </row>
    <row r="223" spans="1:22" ht="15.75" customHeight="1" x14ac:dyDescent="0.3">
      <c r="A223" s="397"/>
      <c r="B223" s="398"/>
      <c r="C223" s="399"/>
      <c r="D223" s="399"/>
      <c r="E223" s="399"/>
      <c r="F223" s="399"/>
      <c r="G223" s="400"/>
      <c r="H223" s="400"/>
      <c r="I223" s="400"/>
      <c r="J223" s="406" t="str">
        <f>IF(OR(ISBLANK(Tabla1[[#This Row],[M3 '[g'] PESO CRISOL+MUESTRA (SECA)]]),ISBLANK(Tabla1[[#This Row],[M1 '[g']]]),ISBLANK(Tabla1[[#This Row],[M4 '[g']  PESO CRISOL + CENIZAS]]),ISBLANK(Tabla1[[#This Row],[M5]])),"",Tabla1[[#This Row],[M3 '[g'] PESO CRISOL+MUESTRA (SECA)]]-Tabla1[[#This Row],[M1 '[g']]]-Tabla1[[#This Row],[M4 '[g']  PESO CRISOL + CENIZAS]]-Tabla1[[#This Row],[M5]])</f>
        <v/>
      </c>
      <c r="K223" s="407" t="str">
        <f>IF(OR(ISBLANK(Tabla1[[#This Row],[M3 '[g'] PESO CRISOL+MUESTRA (SECA)]]),ISBLANK(Tabla1[[#This Row],[M1 '[g']]]),ISBLANK(Tabla1[[#This Row],[M4 '[g']  PESO CRISOL + CENIZAS]])),"",Tabla1[[#This Row],[M3 '[g'] PESO CRISOL+MUESTRA (SECA)]]-Tabla1[[#This Row],[M1 '[g']]]-Tabla1[[#This Row],[M4 '[g']  PESO CRISOL + CENIZAS]])</f>
        <v/>
      </c>
      <c r="L223" s="407" t="str">
        <f>IF(ISNUMBER(Tabla1[[#This Row],[%FIBRA TOTAL]]),Tabla1[[#This Row],[%FIBRA TOTAL]]*(100-Tabla1[[#This Row],[%Grasa y/o % humedad En la Muestra g/100g]])/100,"")</f>
        <v/>
      </c>
      <c r="M223" s="393"/>
      <c r="N223" s="399"/>
      <c r="O223" s="411"/>
      <c r="P223" s="412"/>
      <c r="Q223" s="413"/>
      <c r="R223" s="413"/>
    </row>
    <row r="224" spans="1:22" ht="15.75" customHeight="1" x14ac:dyDescent="0.3">
      <c r="A224" s="397"/>
      <c r="B224" s="398"/>
      <c r="C224" s="399"/>
      <c r="D224" s="399"/>
      <c r="E224" s="399"/>
      <c r="F224" s="399"/>
      <c r="G224" s="400"/>
      <c r="H224" s="400"/>
      <c r="I224" s="400"/>
      <c r="J224" s="406" t="str">
        <f>IF(OR(ISBLANK(Tabla1[[#This Row],[M3 '[g'] PESO CRISOL+MUESTRA (SECA)]]),ISBLANK(Tabla1[[#This Row],[M1 '[g']]]),ISBLANK(Tabla1[[#This Row],[M4 '[g']  PESO CRISOL + CENIZAS]]),ISBLANK(Tabla1[[#This Row],[M5]])),"",Tabla1[[#This Row],[M3 '[g'] PESO CRISOL+MUESTRA (SECA)]]-Tabla1[[#This Row],[M1 '[g']]]-Tabla1[[#This Row],[M4 '[g']  PESO CRISOL + CENIZAS]]-Tabla1[[#This Row],[M5]])</f>
        <v/>
      </c>
      <c r="K224" s="407" t="str">
        <f>IF(OR(ISBLANK(Tabla1[[#This Row],[M3 '[g'] PESO CRISOL+MUESTRA (SECA)]]),ISBLANK(Tabla1[[#This Row],[M1 '[g']]]),ISBLANK(Tabla1[[#This Row],[M4 '[g']  PESO CRISOL + CENIZAS]])),"",Tabla1[[#This Row],[M3 '[g'] PESO CRISOL+MUESTRA (SECA)]]-Tabla1[[#This Row],[M1 '[g']]]-Tabla1[[#This Row],[M4 '[g']  PESO CRISOL + CENIZAS]])</f>
        <v/>
      </c>
      <c r="L224" s="407" t="str">
        <f>IF(ISNUMBER(Tabla1[[#This Row],[%FIBRA TOTAL]]),Tabla1[[#This Row],[%FIBRA TOTAL]]*(100-Tabla1[[#This Row],[%Grasa y/o % humedad En la Muestra g/100g]])/100,"")</f>
        <v/>
      </c>
      <c r="M224" s="393"/>
      <c r="N224" s="399"/>
      <c r="O224" s="411"/>
      <c r="P224" s="412"/>
      <c r="Q224" s="413"/>
      <c r="R224" s="413"/>
    </row>
    <row r="225" spans="1:18" ht="15.75" customHeight="1" x14ac:dyDescent="0.3">
      <c r="A225" s="397"/>
      <c r="B225" s="398"/>
      <c r="C225" s="399"/>
      <c r="D225" s="399"/>
      <c r="E225" s="399"/>
      <c r="F225" s="399"/>
      <c r="G225" s="400"/>
      <c r="H225" s="400"/>
      <c r="I225" s="400"/>
      <c r="J225" s="406" t="str">
        <f>IF(OR(ISBLANK(Tabla1[[#This Row],[M3 '[g'] PESO CRISOL+MUESTRA (SECA)]]),ISBLANK(Tabla1[[#This Row],[M1 '[g']]]),ISBLANK(Tabla1[[#This Row],[M4 '[g']  PESO CRISOL + CENIZAS]]),ISBLANK(Tabla1[[#This Row],[M5]])),"",Tabla1[[#This Row],[M3 '[g'] PESO CRISOL+MUESTRA (SECA)]]-Tabla1[[#This Row],[M1 '[g']]]-Tabla1[[#This Row],[M4 '[g']  PESO CRISOL + CENIZAS]]-Tabla1[[#This Row],[M5]])</f>
        <v/>
      </c>
      <c r="K225" s="407" t="str">
        <f>IF(OR(ISBLANK(Tabla1[[#This Row],[M3 '[g'] PESO CRISOL+MUESTRA (SECA)]]),ISBLANK(Tabla1[[#This Row],[M1 '[g']]]),ISBLANK(Tabla1[[#This Row],[M4 '[g']  PESO CRISOL + CENIZAS]])),"",Tabla1[[#This Row],[M3 '[g'] PESO CRISOL+MUESTRA (SECA)]]-Tabla1[[#This Row],[M1 '[g']]]-Tabla1[[#This Row],[M4 '[g']  PESO CRISOL + CENIZAS]])</f>
        <v/>
      </c>
      <c r="L225" s="407" t="str">
        <f>IF(ISNUMBER(Tabla1[[#This Row],[%FIBRA TOTAL]]),Tabla1[[#This Row],[%FIBRA TOTAL]]*(100-Tabla1[[#This Row],[%Grasa y/o % humedad En la Muestra g/100g]])/100,"")</f>
        <v/>
      </c>
      <c r="M225" s="393"/>
      <c r="N225" s="399"/>
      <c r="O225" s="411"/>
      <c r="P225" s="412"/>
      <c r="Q225" s="413"/>
      <c r="R225" s="413"/>
    </row>
    <row r="226" spans="1:18" ht="15.75" customHeight="1" x14ac:dyDescent="0.3">
      <c r="A226" s="397"/>
      <c r="B226" s="398"/>
      <c r="C226" s="399"/>
      <c r="D226" s="399"/>
      <c r="E226" s="399"/>
      <c r="F226" s="399"/>
      <c r="G226" s="400"/>
      <c r="H226" s="400"/>
      <c r="I226" s="400"/>
      <c r="J226" s="406" t="str">
        <f>IF(OR(ISBLANK(Tabla1[[#This Row],[M3 '[g'] PESO CRISOL+MUESTRA (SECA)]]),ISBLANK(Tabla1[[#This Row],[M1 '[g']]]),ISBLANK(Tabla1[[#This Row],[M4 '[g']  PESO CRISOL + CENIZAS]]),ISBLANK(Tabla1[[#This Row],[M5]])),"",Tabla1[[#This Row],[M3 '[g'] PESO CRISOL+MUESTRA (SECA)]]-Tabla1[[#This Row],[M1 '[g']]]-Tabla1[[#This Row],[M4 '[g']  PESO CRISOL + CENIZAS]]-Tabla1[[#This Row],[M5]])</f>
        <v/>
      </c>
      <c r="K226" s="407" t="str">
        <f>IF(OR(ISBLANK(Tabla1[[#This Row],[M3 '[g'] PESO CRISOL+MUESTRA (SECA)]]),ISBLANK(Tabla1[[#This Row],[M1 '[g']]]),ISBLANK(Tabla1[[#This Row],[M4 '[g']  PESO CRISOL + CENIZAS]])),"",Tabla1[[#This Row],[M3 '[g'] PESO CRISOL+MUESTRA (SECA)]]-Tabla1[[#This Row],[M1 '[g']]]-Tabla1[[#This Row],[M4 '[g']  PESO CRISOL + CENIZAS]])</f>
        <v/>
      </c>
      <c r="L226" s="407" t="str">
        <f>IF(ISNUMBER(Tabla1[[#This Row],[%FIBRA TOTAL]]),Tabla1[[#This Row],[%FIBRA TOTAL]]*(100-Tabla1[[#This Row],[%Grasa y/o % humedad En la Muestra g/100g]])/100,"")</f>
        <v/>
      </c>
      <c r="M226" s="393"/>
      <c r="N226" s="399"/>
      <c r="O226" s="411"/>
      <c r="P226" s="412"/>
      <c r="Q226" s="413"/>
      <c r="R226" s="413"/>
    </row>
    <row r="227" spans="1:18" ht="15.75" customHeight="1" x14ac:dyDescent="0.3">
      <c r="A227" s="397"/>
      <c r="B227" s="398"/>
      <c r="C227" s="399"/>
      <c r="D227" s="399"/>
      <c r="E227" s="399"/>
      <c r="F227" s="399"/>
      <c r="G227" s="400"/>
      <c r="H227" s="400"/>
      <c r="I227" s="400"/>
      <c r="J227" s="406" t="str">
        <f>IF(OR(ISBLANK(Tabla1[[#This Row],[M3 '[g'] PESO CRISOL+MUESTRA (SECA)]]),ISBLANK(Tabla1[[#This Row],[M1 '[g']]]),ISBLANK(Tabla1[[#This Row],[M4 '[g']  PESO CRISOL + CENIZAS]]),ISBLANK(Tabla1[[#This Row],[M5]])),"",Tabla1[[#This Row],[M3 '[g'] PESO CRISOL+MUESTRA (SECA)]]-Tabla1[[#This Row],[M1 '[g']]]-Tabla1[[#This Row],[M4 '[g']  PESO CRISOL + CENIZAS]]-Tabla1[[#This Row],[M5]])</f>
        <v/>
      </c>
      <c r="K227" s="407" t="str">
        <f>IF(OR(ISBLANK(Tabla1[[#This Row],[M3 '[g'] PESO CRISOL+MUESTRA (SECA)]]),ISBLANK(Tabla1[[#This Row],[M1 '[g']]]),ISBLANK(Tabla1[[#This Row],[M4 '[g']  PESO CRISOL + CENIZAS]])),"",Tabla1[[#This Row],[M3 '[g'] PESO CRISOL+MUESTRA (SECA)]]-Tabla1[[#This Row],[M1 '[g']]]-Tabla1[[#This Row],[M4 '[g']  PESO CRISOL + CENIZAS]])</f>
        <v/>
      </c>
      <c r="L227" s="407" t="str">
        <f>IF(ISNUMBER(Tabla1[[#This Row],[%FIBRA TOTAL]]),Tabla1[[#This Row],[%FIBRA TOTAL]]*(100-Tabla1[[#This Row],[%Grasa y/o % humedad En la Muestra g/100g]])/100,"")</f>
        <v/>
      </c>
      <c r="M227" s="393"/>
      <c r="N227" s="399"/>
      <c r="O227" s="411"/>
      <c r="P227" s="412"/>
      <c r="Q227" s="413"/>
      <c r="R227" s="413"/>
    </row>
    <row r="228" spans="1:18" ht="15.75" customHeight="1" x14ac:dyDescent="0.3">
      <c r="A228" s="397"/>
      <c r="B228" s="398"/>
      <c r="C228" s="399"/>
      <c r="D228" s="399"/>
      <c r="E228" s="399"/>
      <c r="F228" s="399"/>
      <c r="G228" s="400"/>
      <c r="H228" s="400"/>
      <c r="I228" s="400"/>
      <c r="J228" s="406" t="str">
        <f>IF(OR(ISBLANK(Tabla1[[#This Row],[M3 '[g'] PESO CRISOL+MUESTRA (SECA)]]),ISBLANK(Tabla1[[#This Row],[M1 '[g']]]),ISBLANK(Tabla1[[#This Row],[M4 '[g']  PESO CRISOL + CENIZAS]]),ISBLANK(Tabla1[[#This Row],[M5]])),"",Tabla1[[#This Row],[M3 '[g'] PESO CRISOL+MUESTRA (SECA)]]-Tabla1[[#This Row],[M1 '[g']]]-Tabla1[[#This Row],[M4 '[g']  PESO CRISOL + CENIZAS]]-Tabla1[[#This Row],[M5]])</f>
        <v/>
      </c>
      <c r="K228" s="407" t="str">
        <f>IF(OR(ISBLANK(Tabla1[[#This Row],[M3 '[g'] PESO CRISOL+MUESTRA (SECA)]]),ISBLANK(Tabla1[[#This Row],[M1 '[g']]]),ISBLANK(Tabla1[[#This Row],[M4 '[g']  PESO CRISOL + CENIZAS]])),"",Tabla1[[#This Row],[M3 '[g'] PESO CRISOL+MUESTRA (SECA)]]-Tabla1[[#This Row],[M1 '[g']]]-Tabla1[[#This Row],[M4 '[g']  PESO CRISOL + CENIZAS]])</f>
        <v/>
      </c>
      <c r="L228" s="407" t="str">
        <f>IF(ISNUMBER(Tabla1[[#This Row],[%FIBRA TOTAL]]),Tabla1[[#This Row],[%FIBRA TOTAL]]*(100-Tabla1[[#This Row],[%Grasa y/o % humedad En la Muestra g/100g]])/100,"")</f>
        <v/>
      </c>
      <c r="M228" s="393"/>
      <c r="N228" s="399"/>
      <c r="O228" s="411"/>
      <c r="P228" s="412"/>
      <c r="Q228" s="413"/>
      <c r="R228" s="413"/>
    </row>
    <row r="229" spans="1:18" ht="15.75" customHeight="1" x14ac:dyDescent="0.3">
      <c r="A229" s="397"/>
      <c r="B229" s="398"/>
      <c r="C229" s="399"/>
      <c r="D229" s="399"/>
      <c r="E229" s="399"/>
      <c r="F229" s="399"/>
      <c r="G229" s="400"/>
      <c r="H229" s="400"/>
      <c r="I229" s="400"/>
      <c r="J229" s="406" t="str">
        <f>IF(OR(ISBLANK(Tabla1[[#This Row],[M3 '[g'] PESO CRISOL+MUESTRA (SECA)]]),ISBLANK(Tabla1[[#This Row],[M1 '[g']]]),ISBLANK(Tabla1[[#This Row],[M4 '[g']  PESO CRISOL + CENIZAS]]),ISBLANK(Tabla1[[#This Row],[M5]])),"",Tabla1[[#This Row],[M3 '[g'] PESO CRISOL+MUESTRA (SECA)]]-Tabla1[[#This Row],[M1 '[g']]]-Tabla1[[#This Row],[M4 '[g']  PESO CRISOL + CENIZAS]]-Tabla1[[#This Row],[M5]])</f>
        <v/>
      </c>
      <c r="K229" s="407" t="str">
        <f>IF(OR(ISBLANK(Tabla1[[#This Row],[M3 '[g'] PESO CRISOL+MUESTRA (SECA)]]),ISBLANK(Tabla1[[#This Row],[M1 '[g']]]),ISBLANK(Tabla1[[#This Row],[M4 '[g']  PESO CRISOL + CENIZAS]])),"",Tabla1[[#This Row],[M3 '[g'] PESO CRISOL+MUESTRA (SECA)]]-Tabla1[[#This Row],[M1 '[g']]]-Tabla1[[#This Row],[M4 '[g']  PESO CRISOL + CENIZAS]])</f>
        <v/>
      </c>
      <c r="L229" s="407" t="str">
        <f>IF(ISNUMBER(Tabla1[[#This Row],[%FIBRA TOTAL]]),Tabla1[[#This Row],[%FIBRA TOTAL]]*(100-Tabla1[[#This Row],[%Grasa y/o % humedad En la Muestra g/100g]])/100,"")</f>
        <v/>
      </c>
      <c r="M229" s="393"/>
      <c r="N229" s="399"/>
      <c r="O229" s="411"/>
      <c r="P229" s="412"/>
      <c r="Q229" s="413"/>
      <c r="R229" s="413"/>
    </row>
    <row r="230" spans="1:18" ht="15.75" customHeight="1" x14ac:dyDescent="0.3">
      <c r="A230" s="397"/>
      <c r="B230" s="398"/>
      <c r="C230" s="399"/>
      <c r="D230" s="399"/>
      <c r="E230" s="399"/>
      <c r="F230" s="399"/>
      <c r="G230" s="400"/>
      <c r="H230" s="400"/>
      <c r="I230" s="400"/>
      <c r="J230" s="406" t="str">
        <f>IF(OR(ISBLANK(Tabla1[[#This Row],[M3 '[g'] PESO CRISOL+MUESTRA (SECA)]]),ISBLANK(Tabla1[[#This Row],[M1 '[g']]]),ISBLANK(Tabla1[[#This Row],[M4 '[g']  PESO CRISOL + CENIZAS]]),ISBLANK(Tabla1[[#This Row],[M5]])),"",Tabla1[[#This Row],[M3 '[g'] PESO CRISOL+MUESTRA (SECA)]]-Tabla1[[#This Row],[M1 '[g']]]-Tabla1[[#This Row],[M4 '[g']  PESO CRISOL + CENIZAS]]-Tabla1[[#This Row],[M5]])</f>
        <v/>
      </c>
      <c r="K230" s="407" t="str">
        <f>IF(OR(ISBLANK(Tabla1[[#This Row],[M3 '[g'] PESO CRISOL+MUESTRA (SECA)]]),ISBLANK(Tabla1[[#This Row],[M1 '[g']]]),ISBLANK(Tabla1[[#This Row],[M4 '[g']  PESO CRISOL + CENIZAS]])),"",Tabla1[[#This Row],[M3 '[g'] PESO CRISOL+MUESTRA (SECA)]]-Tabla1[[#This Row],[M1 '[g']]]-Tabla1[[#This Row],[M4 '[g']  PESO CRISOL + CENIZAS]])</f>
        <v/>
      </c>
      <c r="L230" s="407" t="str">
        <f>IF(ISNUMBER(Tabla1[[#This Row],[%FIBRA TOTAL]]),Tabla1[[#This Row],[%FIBRA TOTAL]]*(100-Tabla1[[#This Row],[%Grasa y/o % humedad En la Muestra g/100g]])/100,"")</f>
        <v/>
      </c>
      <c r="M230" s="393"/>
      <c r="N230" s="399"/>
      <c r="O230" s="411"/>
      <c r="P230" s="412"/>
      <c r="Q230" s="413"/>
      <c r="R230" s="413"/>
    </row>
    <row r="231" spans="1:18" ht="15.75" customHeight="1" x14ac:dyDescent="0.3">
      <c r="A231" s="397"/>
      <c r="B231" s="398"/>
      <c r="C231" s="399"/>
      <c r="D231" s="399"/>
      <c r="E231" s="399"/>
      <c r="F231" s="399"/>
      <c r="G231" s="400"/>
      <c r="H231" s="400"/>
      <c r="I231" s="400"/>
      <c r="J231" s="406" t="str">
        <f>IF(OR(ISBLANK(Tabla1[[#This Row],[M3 '[g'] PESO CRISOL+MUESTRA (SECA)]]),ISBLANK(Tabla1[[#This Row],[M1 '[g']]]),ISBLANK(Tabla1[[#This Row],[M4 '[g']  PESO CRISOL + CENIZAS]]),ISBLANK(Tabla1[[#This Row],[M5]])),"",Tabla1[[#This Row],[M3 '[g'] PESO CRISOL+MUESTRA (SECA)]]-Tabla1[[#This Row],[M1 '[g']]]-Tabla1[[#This Row],[M4 '[g']  PESO CRISOL + CENIZAS]]-Tabla1[[#This Row],[M5]])</f>
        <v/>
      </c>
      <c r="K231" s="407" t="str">
        <f>IF(OR(ISBLANK(Tabla1[[#This Row],[M3 '[g'] PESO CRISOL+MUESTRA (SECA)]]),ISBLANK(Tabla1[[#This Row],[M1 '[g']]]),ISBLANK(Tabla1[[#This Row],[M4 '[g']  PESO CRISOL + CENIZAS]])),"",Tabla1[[#This Row],[M3 '[g'] PESO CRISOL+MUESTRA (SECA)]]-Tabla1[[#This Row],[M1 '[g']]]-Tabla1[[#This Row],[M4 '[g']  PESO CRISOL + CENIZAS]])</f>
        <v/>
      </c>
      <c r="L231" s="407" t="str">
        <f>IF(ISNUMBER(Tabla1[[#This Row],[%FIBRA TOTAL]]),Tabla1[[#This Row],[%FIBRA TOTAL]]*(100-Tabla1[[#This Row],[%Grasa y/o % humedad En la Muestra g/100g]])/100,"")</f>
        <v/>
      </c>
      <c r="M231" s="393"/>
      <c r="N231" s="399"/>
      <c r="O231" s="411"/>
      <c r="P231" s="412"/>
      <c r="Q231" s="413"/>
      <c r="R231" s="413"/>
    </row>
    <row r="232" spans="1:18" ht="15.75" customHeight="1" x14ac:dyDescent="0.3">
      <c r="A232" s="397"/>
      <c r="B232" s="398"/>
      <c r="C232" s="399"/>
      <c r="D232" s="399"/>
      <c r="E232" s="399"/>
      <c r="F232" s="399"/>
      <c r="G232" s="400"/>
      <c r="H232" s="400"/>
      <c r="I232" s="400"/>
      <c r="J232" s="406" t="str">
        <f>IF(OR(ISBLANK(Tabla1[[#This Row],[M3 '[g'] PESO CRISOL+MUESTRA (SECA)]]),ISBLANK(Tabla1[[#This Row],[M1 '[g']]]),ISBLANK(Tabla1[[#This Row],[M4 '[g']  PESO CRISOL + CENIZAS]]),ISBLANK(Tabla1[[#This Row],[M5]])),"",Tabla1[[#This Row],[M3 '[g'] PESO CRISOL+MUESTRA (SECA)]]-Tabla1[[#This Row],[M1 '[g']]]-Tabla1[[#This Row],[M4 '[g']  PESO CRISOL + CENIZAS]]-Tabla1[[#This Row],[M5]])</f>
        <v/>
      </c>
      <c r="K232" s="407" t="str">
        <f>IF(OR(ISBLANK(Tabla1[[#This Row],[M3 '[g'] PESO CRISOL+MUESTRA (SECA)]]),ISBLANK(Tabla1[[#This Row],[M1 '[g']]]),ISBLANK(Tabla1[[#This Row],[M4 '[g']  PESO CRISOL + CENIZAS]])),"",Tabla1[[#This Row],[M3 '[g'] PESO CRISOL+MUESTRA (SECA)]]-Tabla1[[#This Row],[M1 '[g']]]-Tabla1[[#This Row],[M4 '[g']  PESO CRISOL + CENIZAS]])</f>
        <v/>
      </c>
      <c r="L232" s="407" t="str">
        <f>IF(ISNUMBER(Tabla1[[#This Row],[%FIBRA TOTAL]]),Tabla1[[#This Row],[%FIBRA TOTAL]]*(100-Tabla1[[#This Row],[%Grasa y/o % humedad En la Muestra g/100g]])/100,"")</f>
        <v/>
      </c>
      <c r="M232" s="393"/>
      <c r="N232" s="399"/>
      <c r="O232" s="411"/>
      <c r="P232" s="412"/>
      <c r="Q232" s="413"/>
      <c r="R232" s="413"/>
    </row>
    <row r="233" spans="1:18" ht="15.75" customHeight="1" x14ac:dyDescent="0.3">
      <c r="A233" s="397"/>
      <c r="B233" s="398"/>
      <c r="C233" s="399"/>
      <c r="D233" s="399"/>
      <c r="E233" s="399"/>
      <c r="F233" s="399"/>
      <c r="G233" s="400"/>
      <c r="H233" s="400"/>
      <c r="I233" s="400"/>
      <c r="J233" s="406" t="str">
        <f>IF(OR(ISBLANK(Tabla1[[#This Row],[M3 '[g'] PESO CRISOL+MUESTRA (SECA)]]),ISBLANK(Tabla1[[#This Row],[M1 '[g']]]),ISBLANK(Tabla1[[#This Row],[M4 '[g']  PESO CRISOL + CENIZAS]]),ISBLANK(Tabla1[[#This Row],[M5]])),"",Tabla1[[#This Row],[M3 '[g'] PESO CRISOL+MUESTRA (SECA)]]-Tabla1[[#This Row],[M1 '[g']]]-Tabla1[[#This Row],[M4 '[g']  PESO CRISOL + CENIZAS]]-Tabla1[[#This Row],[M5]])</f>
        <v/>
      </c>
      <c r="K233" s="407" t="str">
        <f>IF(OR(ISBLANK(Tabla1[[#This Row],[M3 '[g'] PESO CRISOL+MUESTRA (SECA)]]),ISBLANK(Tabla1[[#This Row],[M1 '[g']]]),ISBLANK(Tabla1[[#This Row],[M4 '[g']  PESO CRISOL + CENIZAS]])),"",Tabla1[[#This Row],[M3 '[g'] PESO CRISOL+MUESTRA (SECA)]]-Tabla1[[#This Row],[M1 '[g']]]-Tabla1[[#This Row],[M4 '[g']  PESO CRISOL + CENIZAS]])</f>
        <v/>
      </c>
      <c r="L233" s="407" t="str">
        <f>IF(ISNUMBER(Tabla1[[#This Row],[%FIBRA TOTAL]]),Tabla1[[#This Row],[%FIBRA TOTAL]]*(100-Tabla1[[#This Row],[%Grasa y/o % humedad En la Muestra g/100g]])/100,"")</f>
        <v/>
      </c>
      <c r="M233" s="393"/>
      <c r="N233" s="399"/>
      <c r="O233" s="411"/>
      <c r="P233" s="412"/>
      <c r="Q233" s="413"/>
      <c r="R233" s="413"/>
    </row>
    <row r="234" spans="1:18" ht="15.75" customHeight="1" x14ac:dyDescent="0.3">
      <c r="A234" s="397"/>
      <c r="B234" s="398"/>
      <c r="C234" s="399"/>
      <c r="D234" s="399"/>
      <c r="E234" s="399"/>
      <c r="F234" s="399"/>
      <c r="G234" s="400"/>
      <c r="H234" s="400"/>
      <c r="I234" s="400"/>
      <c r="J234" s="406" t="str">
        <f>IF(OR(ISBLANK(Tabla1[[#This Row],[M3 '[g'] PESO CRISOL+MUESTRA (SECA)]]),ISBLANK(Tabla1[[#This Row],[M1 '[g']]]),ISBLANK(Tabla1[[#This Row],[M4 '[g']  PESO CRISOL + CENIZAS]]),ISBLANK(Tabla1[[#This Row],[M5]])),"",Tabla1[[#This Row],[M3 '[g'] PESO CRISOL+MUESTRA (SECA)]]-Tabla1[[#This Row],[M1 '[g']]]-Tabla1[[#This Row],[M4 '[g']  PESO CRISOL + CENIZAS]]-Tabla1[[#This Row],[M5]])</f>
        <v/>
      </c>
      <c r="K234" s="407" t="str">
        <f>IF(OR(ISBLANK(Tabla1[[#This Row],[M3 '[g'] PESO CRISOL+MUESTRA (SECA)]]),ISBLANK(Tabla1[[#This Row],[M1 '[g']]]),ISBLANK(Tabla1[[#This Row],[M4 '[g']  PESO CRISOL + CENIZAS]])),"",Tabla1[[#This Row],[M3 '[g'] PESO CRISOL+MUESTRA (SECA)]]-Tabla1[[#This Row],[M1 '[g']]]-Tabla1[[#This Row],[M4 '[g']  PESO CRISOL + CENIZAS]])</f>
        <v/>
      </c>
      <c r="L234" s="407" t="str">
        <f>IF(ISNUMBER(Tabla1[[#This Row],[%FIBRA TOTAL]]),Tabla1[[#This Row],[%FIBRA TOTAL]]*(100-Tabla1[[#This Row],[%Grasa y/o % humedad En la Muestra g/100g]])/100,"")</f>
        <v/>
      </c>
      <c r="M234" s="393"/>
      <c r="N234" s="399"/>
      <c r="O234" s="411"/>
      <c r="P234" s="412"/>
      <c r="Q234" s="413"/>
      <c r="R234" s="413"/>
    </row>
    <row r="235" spans="1:18" ht="15.75" customHeight="1" x14ac:dyDescent="0.3">
      <c r="A235" s="397"/>
      <c r="B235" s="398"/>
      <c r="C235" s="399"/>
      <c r="D235" s="399"/>
      <c r="E235" s="399"/>
      <c r="F235" s="399"/>
      <c r="G235" s="400"/>
      <c r="H235" s="400"/>
      <c r="I235" s="400"/>
      <c r="J235" s="406" t="str">
        <f>IF(OR(ISBLANK(Tabla1[[#This Row],[M3 '[g'] PESO CRISOL+MUESTRA (SECA)]]),ISBLANK(Tabla1[[#This Row],[M1 '[g']]]),ISBLANK(Tabla1[[#This Row],[M4 '[g']  PESO CRISOL + CENIZAS]]),ISBLANK(Tabla1[[#This Row],[M5]])),"",Tabla1[[#This Row],[M3 '[g'] PESO CRISOL+MUESTRA (SECA)]]-Tabla1[[#This Row],[M1 '[g']]]-Tabla1[[#This Row],[M4 '[g']  PESO CRISOL + CENIZAS]]-Tabla1[[#This Row],[M5]])</f>
        <v/>
      </c>
      <c r="K235" s="407" t="str">
        <f>IF(OR(ISBLANK(Tabla1[[#This Row],[M3 '[g'] PESO CRISOL+MUESTRA (SECA)]]),ISBLANK(Tabla1[[#This Row],[M1 '[g']]]),ISBLANK(Tabla1[[#This Row],[M4 '[g']  PESO CRISOL + CENIZAS]])),"",Tabla1[[#This Row],[M3 '[g'] PESO CRISOL+MUESTRA (SECA)]]-Tabla1[[#This Row],[M1 '[g']]]-Tabla1[[#This Row],[M4 '[g']  PESO CRISOL + CENIZAS]])</f>
        <v/>
      </c>
      <c r="L235" s="407" t="str">
        <f>IF(ISNUMBER(Tabla1[[#This Row],[%FIBRA TOTAL]]),Tabla1[[#This Row],[%FIBRA TOTAL]]*(100-Tabla1[[#This Row],[%Grasa y/o % humedad En la Muestra g/100g]])/100,"")</f>
        <v/>
      </c>
      <c r="M235" s="393"/>
      <c r="N235" s="399"/>
      <c r="O235" s="411"/>
      <c r="P235" s="412"/>
      <c r="Q235" s="413"/>
      <c r="R235" s="413"/>
    </row>
    <row r="236" spans="1:18" ht="15.75" customHeight="1" x14ac:dyDescent="0.3">
      <c r="A236" s="397"/>
      <c r="B236" s="398"/>
      <c r="C236" s="399"/>
      <c r="D236" s="399"/>
      <c r="E236" s="399"/>
      <c r="F236" s="399"/>
      <c r="G236" s="400"/>
      <c r="H236" s="400"/>
      <c r="I236" s="400"/>
      <c r="J236" s="406" t="str">
        <f>IF(OR(ISBLANK(Tabla1[[#This Row],[M3 '[g'] PESO CRISOL+MUESTRA (SECA)]]),ISBLANK(Tabla1[[#This Row],[M1 '[g']]]),ISBLANK(Tabla1[[#This Row],[M4 '[g']  PESO CRISOL + CENIZAS]]),ISBLANK(Tabla1[[#This Row],[M5]])),"",Tabla1[[#This Row],[M3 '[g'] PESO CRISOL+MUESTRA (SECA)]]-Tabla1[[#This Row],[M1 '[g']]]-Tabla1[[#This Row],[M4 '[g']  PESO CRISOL + CENIZAS]]-Tabla1[[#This Row],[M5]])</f>
        <v/>
      </c>
      <c r="K236" s="407" t="str">
        <f>IF(OR(ISBLANK(Tabla1[[#This Row],[M3 '[g'] PESO CRISOL+MUESTRA (SECA)]]),ISBLANK(Tabla1[[#This Row],[M1 '[g']]]),ISBLANK(Tabla1[[#This Row],[M4 '[g']  PESO CRISOL + CENIZAS]])),"",Tabla1[[#This Row],[M3 '[g'] PESO CRISOL+MUESTRA (SECA)]]-Tabla1[[#This Row],[M1 '[g']]]-Tabla1[[#This Row],[M4 '[g']  PESO CRISOL + CENIZAS]])</f>
        <v/>
      </c>
      <c r="L236" s="407" t="str">
        <f>IF(ISNUMBER(Tabla1[[#This Row],[%FIBRA TOTAL]]),Tabla1[[#This Row],[%FIBRA TOTAL]]*(100-Tabla1[[#This Row],[%Grasa y/o % humedad En la Muestra g/100g]])/100,"")</f>
        <v/>
      </c>
      <c r="M236" s="393"/>
      <c r="N236" s="399"/>
      <c r="O236" s="411"/>
      <c r="P236" s="412"/>
      <c r="Q236" s="413"/>
      <c r="R236" s="413"/>
    </row>
    <row r="237" spans="1:18" ht="15.75" customHeight="1" x14ac:dyDescent="0.3">
      <c r="A237" s="397"/>
      <c r="B237" s="398"/>
      <c r="C237" s="399"/>
      <c r="D237" s="399"/>
      <c r="E237" s="399"/>
      <c r="F237" s="399"/>
      <c r="G237" s="400"/>
      <c r="H237" s="400"/>
      <c r="I237" s="400"/>
      <c r="J237" s="406" t="str">
        <f>IF(OR(ISBLANK(Tabla1[[#This Row],[M3 '[g'] PESO CRISOL+MUESTRA (SECA)]]),ISBLANK(Tabla1[[#This Row],[M1 '[g']]]),ISBLANK(Tabla1[[#This Row],[M4 '[g']  PESO CRISOL + CENIZAS]]),ISBLANK(Tabla1[[#This Row],[M5]])),"",Tabla1[[#This Row],[M3 '[g'] PESO CRISOL+MUESTRA (SECA)]]-Tabla1[[#This Row],[M1 '[g']]]-Tabla1[[#This Row],[M4 '[g']  PESO CRISOL + CENIZAS]]-Tabla1[[#This Row],[M5]])</f>
        <v/>
      </c>
      <c r="K237" s="407" t="str">
        <f>IF(OR(ISBLANK(Tabla1[[#This Row],[M3 '[g'] PESO CRISOL+MUESTRA (SECA)]]),ISBLANK(Tabla1[[#This Row],[M1 '[g']]]),ISBLANK(Tabla1[[#This Row],[M4 '[g']  PESO CRISOL + CENIZAS]])),"",Tabla1[[#This Row],[M3 '[g'] PESO CRISOL+MUESTRA (SECA)]]-Tabla1[[#This Row],[M1 '[g']]]-Tabla1[[#This Row],[M4 '[g']  PESO CRISOL + CENIZAS]])</f>
        <v/>
      </c>
      <c r="L237" s="407" t="str">
        <f>IF(ISNUMBER(Tabla1[[#This Row],[%FIBRA TOTAL]]),Tabla1[[#This Row],[%FIBRA TOTAL]]*(100-Tabla1[[#This Row],[%Grasa y/o % humedad En la Muestra g/100g]])/100,"")</f>
        <v/>
      </c>
      <c r="M237" s="393"/>
      <c r="N237" s="399"/>
      <c r="O237" s="411"/>
      <c r="P237" s="412"/>
      <c r="Q237" s="413"/>
      <c r="R237" s="413"/>
    </row>
    <row r="238" spans="1:18" ht="15.75" customHeight="1" x14ac:dyDescent="0.3">
      <c r="A238" s="397"/>
      <c r="B238" s="398"/>
      <c r="C238" s="399"/>
      <c r="D238" s="399"/>
      <c r="E238" s="399"/>
      <c r="F238" s="399"/>
      <c r="G238" s="400"/>
      <c r="H238" s="400"/>
      <c r="I238" s="400"/>
      <c r="J238" s="406" t="str">
        <f>IF(OR(ISBLANK(Tabla1[[#This Row],[M3 '[g'] PESO CRISOL+MUESTRA (SECA)]]),ISBLANK(Tabla1[[#This Row],[M1 '[g']]]),ISBLANK(Tabla1[[#This Row],[M4 '[g']  PESO CRISOL + CENIZAS]]),ISBLANK(Tabla1[[#This Row],[M5]])),"",Tabla1[[#This Row],[M3 '[g'] PESO CRISOL+MUESTRA (SECA)]]-Tabla1[[#This Row],[M1 '[g']]]-Tabla1[[#This Row],[M4 '[g']  PESO CRISOL + CENIZAS]]-Tabla1[[#This Row],[M5]])</f>
        <v/>
      </c>
      <c r="K238" s="407" t="str">
        <f>IF(OR(ISBLANK(Tabla1[[#This Row],[M3 '[g'] PESO CRISOL+MUESTRA (SECA)]]),ISBLANK(Tabla1[[#This Row],[M1 '[g']]]),ISBLANK(Tabla1[[#This Row],[M4 '[g']  PESO CRISOL + CENIZAS]])),"",Tabla1[[#This Row],[M3 '[g'] PESO CRISOL+MUESTRA (SECA)]]-Tabla1[[#This Row],[M1 '[g']]]-Tabla1[[#This Row],[M4 '[g']  PESO CRISOL + CENIZAS]])</f>
        <v/>
      </c>
      <c r="L238" s="407" t="str">
        <f>IF(ISNUMBER(Tabla1[[#This Row],[%FIBRA TOTAL]]),Tabla1[[#This Row],[%FIBRA TOTAL]]*(100-Tabla1[[#This Row],[%Grasa y/o % humedad En la Muestra g/100g]])/100,"")</f>
        <v/>
      </c>
      <c r="M238" s="393"/>
      <c r="N238" s="399"/>
      <c r="O238" s="411"/>
      <c r="P238" s="412"/>
      <c r="Q238" s="413"/>
      <c r="R238" s="413"/>
    </row>
    <row r="239" spans="1:18" ht="15.75" customHeight="1" x14ac:dyDescent="0.3">
      <c r="A239" s="397"/>
      <c r="B239" s="398"/>
      <c r="C239" s="399"/>
      <c r="D239" s="399"/>
      <c r="E239" s="399"/>
      <c r="F239" s="399"/>
      <c r="G239" s="400"/>
      <c r="H239" s="400"/>
      <c r="I239" s="400"/>
      <c r="J239" s="406" t="str">
        <f>IF(OR(ISBLANK(Tabla1[[#This Row],[M3 '[g'] PESO CRISOL+MUESTRA (SECA)]]),ISBLANK(Tabla1[[#This Row],[M1 '[g']]]),ISBLANK(Tabla1[[#This Row],[M4 '[g']  PESO CRISOL + CENIZAS]]),ISBLANK(Tabla1[[#This Row],[M5]])),"",Tabla1[[#This Row],[M3 '[g'] PESO CRISOL+MUESTRA (SECA)]]-Tabla1[[#This Row],[M1 '[g']]]-Tabla1[[#This Row],[M4 '[g']  PESO CRISOL + CENIZAS]]-Tabla1[[#This Row],[M5]])</f>
        <v/>
      </c>
      <c r="K239" s="407" t="str">
        <f>IF(OR(ISBLANK(Tabla1[[#This Row],[M3 '[g'] PESO CRISOL+MUESTRA (SECA)]]),ISBLANK(Tabla1[[#This Row],[M1 '[g']]]),ISBLANK(Tabla1[[#This Row],[M4 '[g']  PESO CRISOL + CENIZAS]])),"",Tabla1[[#This Row],[M3 '[g'] PESO CRISOL+MUESTRA (SECA)]]-Tabla1[[#This Row],[M1 '[g']]]-Tabla1[[#This Row],[M4 '[g']  PESO CRISOL + CENIZAS]])</f>
        <v/>
      </c>
      <c r="L239" s="407" t="str">
        <f>IF(ISNUMBER(Tabla1[[#This Row],[%FIBRA TOTAL]]),Tabla1[[#This Row],[%FIBRA TOTAL]]*(100-Tabla1[[#This Row],[%Grasa y/o % humedad En la Muestra g/100g]])/100,"")</f>
        <v/>
      </c>
      <c r="M239" s="393"/>
      <c r="N239" s="399"/>
      <c r="O239" s="411"/>
      <c r="P239" s="412"/>
      <c r="Q239" s="413"/>
      <c r="R239" s="413"/>
    </row>
    <row r="240" spans="1:18" ht="15.75" customHeight="1" x14ac:dyDescent="0.3">
      <c r="A240" s="397"/>
      <c r="B240" s="398"/>
      <c r="C240" s="399"/>
      <c r="D240" s="399"/>
      <c r="E240" s="399"/>
      <c r="F240" s="399"/>
      <c r="G240" s="400"/>
      <c r="H240" s="400"/>
      <c r="I240" s="400"/>
      <c r="J240" s="406" t="str">
        <f>IF(OR(ISBLANK(Tabla1[[#This Row],[M3 '[g'] PESO CRISOL+MUESTRA (SECA)]]),ISBLANK(Tabla1[[#This Row],[M1 '[g']]]),ISBLANK(Tabla1[[#This Row],[M4 '[g']  PESO CRISOL + CENIZAS]]),ISBLANK(Tabla1[[#This Row],[M5]])),"",Tabla1[[#This Row],[M3 '[g'] PESO CRISOL+MUESTRA (SECA)]]-Tabla1[[#This Row],[M1 '[g']]]-Tabla1[[#This Row],[M4 '[g']  PESO CRISOL + CENIZAS]]-Tabla1[[#This Row],[M5]])</f>
        <v/>
      </c>
      <c r="K240" s="407" t="str">
        <f>IF(OR(ISBLANK(Tabla1[[#This Row],[M3 '[g'] PESO CRISOL+MUESTRA (SECA)]]),ISBLANK(Tabla1[[#This Row],[M1 '[g']]]),ISBLANK(Tabla1[[#This Row],[M4 '[g']  PESO CRISOL + CENIZAS]])),"",Tabla1[[#This Row],[M3 '[g'] PESO CRISOL+MUESTRA (SECA)]]-Tabla1[[#This Row],[M1 '[g']]]-Tabla1[[#This Row],[M4 '[g']  PESO CRISOL + CENIZAS]])</f>
        <v/>
      </c>
      <c r="L240" s="407" t="str">
        <f>IF(ISNUMBER(Tabla1[[#This Row],[%FIBRA TOTAL]]),Tabla1[[#This Row],[%FIBRA TOTAL]]*(100-Tabla1[[#This Row],[%Grasa y/o % humedad En la Muestra g/100g]])/100,"")</f>
        <v/>
      </c>
      <c r="M240" s="393"/>
      <c r="N240" s="399"/>
      <c r="O240" s="411"/>
      <c r="P240" s="412"/>
      <c r="Q240" s="413"/>
      <c r="R240" s="413"/>
    </row>
    <row r="241" spans="1:18" ht="15.75" customHeight="1" x14ac:dyDescent="0.3">
      <c r="A241" s="397"/>
      <c r="B241" s="398"/>
      <c r="C241" s="399"/>
      <c r="D241" s="399"/>
      <c r="E241" s="399"/>
      <c r="F241" s="399"/>
      <c r="G241" s="400"/>
      <c r="H241" s="400"/>
      <c r="I241" s="400"/>
      <c r="J241" s="406" t="str">
        <f>IF(OR(ISBLANK(Tabla1[[#This Row],[M3 '[g'] PESO CRISOL+MUESTRA (SECA)]]),ISBLANK(Tabla1[[#This Row],[M1 '[g']]]),ISBLANK(Tabla1[[#This Row],[M4 '[g']  PESO CRISOL + CENIZAS]]),ISBLANK(Tabla1[[#This Row],[M5]])),"",Tabla1[[#This Row],[M3 '[g'] PESO CRISOL+MUESTRA (SECA)]]-Tabla1[[#This Row],[M1 '[g']]]-Tabla1[[#This Row],[M4 '[g']  PESO CRISOL + CENIZAS]]-Tabla1[[#This Row],[M5]])</f>
        <v/>
      </c>
      <c r="K241" s="407" t="str">
        <f>IF(OR(ISBLANK(Tabla1[[#This Row],[M3 '[g'] PESO CRISOL+MUESTRA (SECA)]]),ISBLANK(Tabla1[[#This Row],[M1 '[g']]]),ISBLANK(Tabla1[[#This Row],[M4 '[g']  PESO CRISOL + CENIZAS]])),"",Tabla1[[#This Row],[M3 '[g'] PESO CRISOL+MUESTRA (SECA)]]-Tabla1[[#This Row],[M1 '[g']]]-Tabla1[[#This Row],[M4 '[g']  PESO CRISOL + CENIZAS]])</f>
        <v/>
      </c>
      <c r="L241" s="407" t="str">
        <f>IF(ISNUMBER(Tabla1[[#This Row],[%FIBRA TOTAL]]),Tabla1[[#This Row],[%FIBRA TOTAL]]*(100-Tabla1[[#This Row],[%Grasa y/o % humedad En la Muestra g/100g]])/100,"")</f>
        <v/>
      </c>
      <c r="M241" s="393"/>
      <c r="N241" s="399"/>
      <c r="O241" s="411"/>
      <c r="P241" s="412"/>
      <c r="Q241" s="413"/>
      <c r="R241" s="413"/>
    </row>
    <row r="242" spans="1:18" ht="15.75" customHeight="1" x14ac:dyDescent="0.3">
      <c r="A242" s="397"/>
      <c r="B242" s="398"/>
      <c r="C242" s="399"/>
      <c r="D242" s="399"/>
      <c r="E242" s="399"/>
      <c r="F242" s="399"/>
      <c r="G242" s="400"/>
      <c r="H242" s="400"/>
      <c r="I242" s="400"/>
      <c r="J242" s="406" t="str">
        <f>IF(OR(ISBLANK(Tabla1[[#This Row],[M3 '[g'] PESO CRISOL+MUESTRA (SECA)]]),ISBLANK(Tabla1[[#This Row],[M1 '[g']]]),ISBLANK(Tabla1[[#This Row],[M4 '[g']  PESO CRISOL + CENIZAS]]),ISBLANK(Tabla1[[#This Row],[M5]])),"",Tabla1[[#This Row],[M3 '[g'] PESO CRISOL+MUESTRA (SECA)]]-Tabla1[[#This Row],[M1 '[g']]]-Tabla1[[#This Row],[M4 '[g']  PESO CRISOL + CENIZAS]]-Tabla1[[#This Row],[M5]])</f>
        <v/>
      </c>
      <c r="K242" s="407" t="str">
        <f>IF(OR(ISBLANK(Tabla1[[#This Row],[M3 '[g'] PESO CRISOL+MUESTRA (SECA)]]),ISBLANK(Tabla1[[#This Row],[M1 '[g']]]),ISBLANK(Tabla1[[#This Row],[M4 '[g']  PESO CRISOL + CENIZAS]])),"",Tabla1[[#This Row],[M3 '[g'] PESO CRISOL+MUESTRA (SECA)]]-Tabla1[[#This Row],[M1 '[g']]]-Tabla1[[#This Row],[M4 '[g']  PESO CRISOL + CENIZAS]])</f>
        <v/>
      </c>
      <c r="L242" s="407" t="str">
        <f>IF(ISNUMBER(Tabla1[[#This Row],[%FIBRA TOTAL]]),Tabla1[[#This Row],[%FIBRA TOTAL]]*(100-Tabla1[[#This Row],[%Grasa y/o % humedad En la Muestra g/100g]])/100,"")</f>
        <v/>
      </c>
      <c r="M242" s="393"/>
      <c r="N242" s="399"/>
      <c r="O242" s="411"/>
      <c r="P242" s="412"/>
      <c r="Q242" s="413"/>
      <c r="R242" s="413"/>
    </row>
    <row r="243" spans="1:18" ht="15.75" customHeight="1" x14ac:dyDescent="0.3">
      <c r="A243" s="397"/>
      <c r="B243" s="398"/>
      <c r="C243" s="399"/>
      <c r="D243" s="399"/>
      <c r="E243" s="399"/>
      <c r="F243" s="399"/>
      <c r="G243" s="400"/>
      <c r="H243" s="400"/>
      <c r="I243" s="400"/>
      <c r="J243" s="406" t="str">
        <f>IF(OR(ISBLANK(Tabla1[[#This Row],[M3 '[g'] PESO CRISOL+MUESTRA (SECA)]]),ISBLANK(Tabla1[[#This Row],[M1 '[g']]]),ISBLANK(Tabla1[[#This Row],[M4 '[g']  PESO CRISOL + CENIZAS]]),ISBLANK(Tabla1[[#This Row],[M5]])),"",Tabla1[[#This Row],[M3 '[g'] PESO CRISOL+MUESTRA (SECA)]]-Tabla1[[#This Row],[M1 '[g']]]-Tabla1[[#This Row],[M4 '[g']  PESO CRISOL + CENIZAS]]-Tabla1[[#This Row],[M5]])</f>
        <v/>
      </c>
      <c r="K243" s="407" t="str">
        <f>IF(OR(ISBLANK(Tabla1[[#This Row],[M3 '[g'] PESO CRISOL+MUESTRA (SECA)]]),ISBLANK(Tabla1[[#This Row],[M1 '[g']]]),ISBLANK(Tabla1[[#This Row],[M4 '[g']  PESO CRISOL + CENIZAS]])),"",Tabla1[[#This Row],[M3 '[g'] PESO CRISOL+MUESTRA (SECA)]]-Tabla1[[#This Row],[M1 '[g']]]-Tabla1[[#This Row],[M4 '[g']  PESO CRISOL + CENIZAS]])</f>
        <v/>
      </c>
      <c r="L243" s="407" t="str">
        <f>IF(ISNUMBER(Tabla1[[#This Row],[%FIBRA TOTAL]]),Tabla1[[#This Row],[%FIBRA TOTAL]]*(100-Tabla1[[#This Row],[%Grasa y/o % humedad En la Muestra g/100g]])/100,"")</f>
        <v/>
      </c>
      <c r="M243" s="393"/>
      <c r="N243" s="399"/>
      <c r="O243" s="411"/>
      <c r="P243" s="412"/>
      <c r="Q243" s="413"/>
      <c r="R243" s="413"/>
    </row>
    <row r="244" spans="1:18" ht="15.75" customHeight="1" x14ac:dyDescent="0.3">
      <c r="A244" s="397"/>
      <c r="B244" s="398"/>
      <c r="C244" s="399"/>
      <c r="D244" s="399"/>
      <c r="E244" s="399"/>
      <c r="F244" s="399"/>
      <c r="G244" s="400"/>
      <c r="H244" s="400"/>
      <c r="I244" s="400"/>
      <c r="J244" s="406" t="str">
        <f>IF(OR(ISBLANK(Tabla1[[#This Row],[M3 '[g'] PESO CRISOL+MUESTRA (SECA)]]),ISBLANK(Tabla1[[#This Row],[M1 '[g']]]),ISBLANK(Tabla1[[#This Row],[M4 '[g']  PESO CRISOL + CENIZAS]]),ISBLANK(Tabla1[[#This Row],[M5]])),"",Tabla1[[#This Row],[M3 '[g'] PESO CRISOL+MUESTRA (SECA)]]-Tabla1[[#This Row],[M1 '[g']]]-Tabla1[[#This Row],[M4 '[g']  PESO CRISOL + CENIZAS]]-Tabla1[[#This Row],[M5]])</f>
        <v/>
      </c>
      <c r="K244" s="407" t="str">
        <f>IF(OR(ISBLANK(Tabla1[[#This Row],[M3 '[g'] PESO CRISOL+MUESTRA (SECA)]]),ISBLANK(Tabla1[[#This Row],[M1 '[g']]]),ISBLANK(Tabla1[[#This Row],[M4 '[g']  PESO CRISOL + CENIZAS]])),"",Tabla1[[#This Row],[M3 '[g'] PESO CRISOL+MUESTRA (SECA)]]-Tabla1[[#This Row],[M1 '[g']]]-Tabla1[[#This Row],[M4 '[g']  PESO CRISOL + CENIZAS]])</f>
        <v/>
      </c>
      <c r="L244" s="407" t="str">
        <f>IF(ISNUMBER(Tabla1[[#This Row],[%FIBRA TOTAL]]),Tabla1[[#This Row],[%FIBRA TOTAL]]*(100-Tabla1[[#This Row],[%Grasa y/o % humedad En la Muestra g/100g]])/100,"")</f>
        <v/>
      </c>
      <c r="M244" s="393"/>
      <c r="N244" s="399"/>
      <c r="O244" s="411"/>
      <c r="P244" s="412"/>
      <c r="Q244" s="413"/>
      <c r="R244" s="413"/>
    </row>
    <row r="245" spans="1:18" ht="15.75" customHeight="1" x14ac:dyDescent="0.3">
      <c r="A245" s="397"/>
      <c r="B245" s="398"/>
      <c r="C245" s="399"/>
      <c r="D245" s="399"/>
      <c r="E245" s="399"/>
      <c r="F245" s="399"/>
      <c r="G245" s="400"/>
      <c r="H245" s="400"/>
      <c r="I245" s="400"/>
      <c r="J245" s="406" t="str">
        <f>IF(OR(ISBLANK(Tabla1[[#This Row],[M3 '[g'] PESO CRISOL+MUESTRA (SECA)]]),ISBLANK(Tabla1[[#This Row],[M1 '[g']]]),ISBLANK(Tabla1[[#This Row],[M4 '[g']  PESO CRISOL + CENIZAS]]),ISBLANK(Tabla1[[#This Row],[M5]])),"",Tabla1[[#This Row],[M3 '[g'] PESO CRISOL+MUESTRA (SECA)]]-Tabla1[[#This Row],[M1 '[g']]]-Tabla1[[#This Row],[M4 '[g']  PESO CRISOL + CENIZAS]]-Tabla1[[#This Row],[M5]])</f>
        <v/>
      </c>
      <c r="K245" s="407" t="str">
        <f>IF(OR(ISBLANK(Tabla1[[#This Row],[M3 '[g'] PESO CRISOL+MUESTRA (SECA)]]),ISBLANK(Tabla1[[#This Row],[M1 '[g']]]),ISBLANK(Tabla1[[#This Row],[M4 '[g']  PESO CRISOL + CENIZAS]])),"",Tabla1[[#This Row],[M3 '[g'] PESO CRISOL+MUESTRA (SECA)]]-Tabla1[[#This Row],[M1 '[g']]]-Tabla1[[#This Row],[M4 '[g']  PESO CRISOL + CENIZAS]])</f>
        <v/>
      </c>
      <c r="L245" s="407" t="str">
        <f>IF(ISNUMBER(Tabla1[[#This Row],[%FIBRA TOTAL]]),Tabla1[[#This Row],[%FIBRA TOTAL]]*(100-Tabla1[[#This Row],[%Grasa y/o % humedad En la Muestra g/100g]])/100,"")</f>
        <v/>
      </c>
      <c r="M245" s="393"/>
      <c r="N245" s="399"/>
      <c r="O245" s="411"/>
      <c r="P245" s="412"/>
      <c r="Q245" s="413"/>
      <c r="R245" s="413"/>
    </row>
    <row r="246" spans="1:18" ht="15.75" customHeight="1" x14ac:dyDescent="0.3">
      <c r="A246" s="397"/>
      <c r="B246" s="398"/>
      <c r="C246" s="399"/>
      <c r="D246" s="399"/>
      <c r="E246" s="399"/>
      <c r="F246" s="399"/>
      <c r="G246" s="400"/>
      <c r="H246" s="400"/>
      <c r="I246" s="400"/>
      <c r="J246" s="406" t="str">
        <f>IF(OR(ISBLANK(Tabla1[[#This Row],[M3 '[g'] PESO CRISOL+MUESTRA (SECA)]]),ISBLANK(Tabla1[[#This Row],[M1 '[g']]]),ISBLANK(Tabla1[[#This Row],[M4 '[g']  PESO CRISOL + CENIZAS]]),ISBLANK(Tabla1[[#This Row],[M5]])),"",Tabla1[[#This Row],[M3 '[g'] PESO CRISOL+MUESTRA (SECA)]]-Tabla1[[#This Row],[M1 '[g']]]-Tabla1[[#This Row],[M4 '[g']  PESO CRISOL + CENIZAS]]-Tabla1[[#This Row],[M5]])</f>
        <v/>
      </c>
      <c r="K246" s="407" t="str">
        <f>IF(OR(ISBLANK(Tabla1[[#This Row],[M3 '[g'] PESO CRISOL+MUESTRA (SECA)]]),ISBLANK(Tabla1[[#This Row],[M1 '[g']]]),ISBLANK(Tabla1[[#This Row],[M4 '[g']  PESO CRISOL + CENIZAS]])),"",Tabla1[[#This Row],[M3 '[g'] PESO CRISOL+MUESTRA (SECA)]]-Tabla1[[#This Row],[M1 '[g']]]-Tabla1[[#This Row],[M4 '[g']  PESO CRISOL + CENIZAS]])</f>
        <v/>
      </c>
      <c r="L246" s="407" t="str">
        <f>IF(ISNUMBER(Tabla1[[#This Row],[%FIBRA TOTAL]]),Tabla1[[#This Row],[%FIBRA TOTAL]]*(100-Tabla1[[#This Row],[%Grasa y/o % humedad En la Muestra g/100g]])/100,"")</f>
        <v/>
      </c>
      <c r="M246" s="393"/>
      <c r="N246" s="399"/>
      <c r="O246" s="411"/>
      <c r="P246" s="412"/>
      <c r="Q246" s="413"/>
      <c r="R246" s="413"/>
    </row>
    <row r="247" spans="1:18" ht="15.75" customHeight="1" x14ac:dyDescent="0.3">
      <c r="A247" s="402"/>
      <c r="B247" s="403"/>
      <c r="C247" s="404"/>
      <c r="D247" s="404"/>
      <c r="E247" s="404"/>
      <c r="F247" s="404"/>
      <c r="G247" s="405"/>
      <c r="H247" s="405"/>
      <c r="I247" s="405"/>
      <c r="J247" s="409" t="str">
        <f>IF(OR(ISBLANK(Tabla1[[#This Row],[M3 '[g'] PESO CRISOL+MUESTRA (SECA)]]),ISBLANK(Tabla1[[#This Row],[M1 '[g']]]),ISBLANK(Tabla1[[#This Row],[M4 '[g']  PESO CRISOL + CENIZAS]]),ISBLANK(Tabla1[[#This Row],[M5]])),"",Tabla1[[#This Row],[M3 '[g'] PESO CRISOL+MUESTRA (SECA)]]-Tabla1[[#This Row],[M1 '[g']]]-Tabla1[[#This Row],[M4 '[g']  PESO CRISOL + CENIZAS]]-Tabla1[[#This Row],[M5]])</f>
        <v/>
      </c>
      <c r="K247" s="410" t="str">
        <f>IF(OR(ISBLANK(Tabla1[[#This Row],[M3 '[g'] PESO CRISOL+MUESTRA (SECA)]]),ISBLANK(Tabla1[[#This Row],[M1 '[g']]]),ISBLANK(Tabla1[[#This Row],[M4 '[g']  PESO CRISOL + CENIZAS]])),"",Tabla1[[#This Row],[M3 '[g'] PESO CRISOL+MUESTRA (SECA)]]-Tabla1[[#This Row],[M1 '[g']]]-Tabla1[[#This Row],[M4 '[g']  PESO CRISOL + CENIZAS]])</f>
        <v/>
      </c>
      <c r="L247" s="410" t="str">
        <f>IF(ISNUMBER(Tabla1[[#This Row],[%FIBRA TOTAL]]),Tabla1[[#This Row],[%FIBRA TOTAL]]*(100-Tabla1[[#This Row],[%Grasa y/o % humedad En la Muestra g/100g]])/100,"")</f>
        <v/>
      </c>
      <c r="M247" s="395"/>
      <c r="N247" s="404"/>
      <c r="O247" s="416"/>
      <c r="P247" s="417"/>
      <c r="Q247" s="418"/>
      <c r="R247" s="418"/>
    </row>
    <row r="248" spans="1:18" x14ac:dyDescent="0.3">
      <c r="B248" s="392"/>
    </row>
    <row r="249" spans="1:18" x14ac:dyDescent="0.3">
      <c r="B249" s="392"/>
    </row>
    <row r="250" spans="1:18" x14ac:dyDescent="0.3">
      <c r="B250" s="392"/>
    </row>
    <row r="251" spans="1:18" x14ac:dyDescent="0.3">
      <c r="B251" s="392"/>
    </row>
    <row r="252" spans="1:18" x14ac:dyDescent="0.3">
      <c r="B252" s="392"/>
    </row>
    <row r="253" spans="1:18" x14ac:dyDescent="0.3">
      <c r="B253" s="392"/>
    </row>
    <row r="254" spans="1:18" x14ac:dyDescent="0.3">
      <c r="B254" s="392"/>
    </row>
    <row r="255" spans="1:18" x14ac:dyDescent="0.3">
      <c r="B255" s="392"/>
    </row>
    <row r="256" spans="1:18" x14ac:dyDescent="0.3">
      <c r="B256" s="392"/>
    </row>
    <row r="257" spans="2:2" x14ac:dyDescent="0.3">
      <c r="B257" s="392"/>
    </row>
    <row r="258" spans="2:2" x14ac:dyDescent="0.3">
      <c r="B258" s="392"/>
    </row>
    <row r="259" spans="2:2" x14ac:dyDescent="0.3">
      <c r="B259" s="392"/>
    </row>
    <row r="260" spans="2:2" x14ac:dyDescent="0.3">
      <c r="B260" s="392"/>
    </row>
    <row r="261" spans="2:2" x14ac:dyDescent="0.3">
      <c r="B261" s="392"/>
    </row>
    <row r="262" spans="2:2" x14ac:dyDescent="0.3">
      <c r="B262" s="392"/>
    </row>
    <row r="263" spans="2:2" x14ac:dyDescent="0.3">
      <c r="B263" s="392"/>
    </row>
    <row r="264" spans="2:2" x14ac:dyDescent="0.3">
      <c r="B264" s="392"/>
    </row>
    <row r="265" spans="2:2" x14ac:dyDescent="0.3">
      <c r="B265" s="392"/>
    </row>
    <row r="266" spans="2:2" x14ac:dyDescent="0.3">
      <c r="B266" s="392"/>
    </row>
    <row r="267" spans="2:2" x14ac:dyDescent="0.3">
      <c r="B267" s="392"/>
    </row>
    <row r="268" spans="2:2" x14ac:dyDescent="0.3">
      <c r="B268" s="392"/>
    </row>
    <row r="269" spans="2:2" x14ac:dyDescent="0.3">
      <c r="B269" s="392"/>
    </row>
    <row r="270" spans="2:2" x14ac:dyDescent="0.3">
      <c r="B270" s="392"/>
    </row>
    <row r="271" spans="2:2" x14ac:dyDescent="0.3">
      <c r="B271" s="392"/>
    </row>
    <row r="272" spans="2:2" x14ac:dyDescent="0.3">
      <c r="B272" s="392"/>
    </row>
    <row r="273" spans="2:2" x14ac:dyDescent="0.3">
      <c r="B273" s="392"/>
    </row>
    <row r="274" spans="2:2" x14ac:dyDescent="0.3">
      <c r="B274" s="392"/>
    </row>
    <row r="275" spans="2:2" x14ac:dyDescent="0.3">
      <c r="B275" s="392"/>
    </row>
    <row r="276" spans="2:2" x14ac:dyDescent="0.3">
      <c r="B276" s="392"/>
    </row>
    <row r="277" spans="2:2" x14ac:dyDescent="0.3">
      <c r="B277" s="392"/>
    </row>
    <row r="278" spans="2:2" x14ac:dyDescent="0.3">
      <c r="B278" s="392"/>
    </row>
    <row r="279" spans="2:2" x14ac:dyDescent="0.3">
      <c r="B279" s="392"/>
    </row>
    <row r="280" spans="2:2" x14ac:dyDescent="0.3">
      <c r="B280" s="392"/>
    </row>
    <row r="281" spans="2:2" x14ac:dyDescent="0.3">
      <c r="B281" s="392"/>
    </row>
    <row r="282" spans="2:2" x14ac:dyDescent="0.3">
      <c r="B282" s="392"/>
    </row>
    <row r="283" spans="2:2" x14ac:dyDescent="0.3">
      <c r="B283" s="392"/>
    </row>
    <row r="284" spans="2:2" x14ac:dyDescent="0.3">
      <c r="B284" s="392"/>
    </row>
    <row r="285" spans="2:2" x14ac:dyDescent="0.3">
      <c r="B285" s="392"/>
    </row>
    <row r="286" spans="2:2" x14ac:dyDescent="0.3">
      <c r="B286" s="392"/>
    </row>
    <row r="287" spans="2:2" x14ac:dyDescent="0.3">
      <c r="B287" s="392"/>
    </row>
    <row r="288" spans="2:2" x14ac:dyDescent="0.3">
      <c r="B288" s="392"/>
    </row>
    <row r="289" spans="2:2" x14ac:dyDescent="0.3">
      <c r="B289" s="392"/>
    </row>
    <row r="290" spans="2:2" x14ac:dyDescent="0.3">
      <c r="B290" s="392"/>
    </row>
    <row r="291" spans="2:2" x14ac:dyDescent="0.3">
      <c r="B291" s="392"/>
    </row>
    <row r="292" spans="2:2" x14ac:dyDescent="0.3">
      <c r="B292" s="392"/>
    </row>
    <row r="293" spans="2:2" x14ac:dyDescent="0.3">
      <c r="B293" s="392"/>
    </row>
    <row r="294" spans="2:2" x14ac:dyDescent="0.3">
      <c r="B294" s="392"/>
    </row>
    <row r="295" spans="2:2" x14ac:dyDescent="0.3">
      <c r="B295" s="392"/>
    </row>
    <row r="296" spans="2:2" x14ac:dyDescent="0.3">
      <c r="B296" s="392"/>
    </row>
    <row r="297" spans="2:2" x14ac:dyDescent="0.3">
      <c r="B297" s="392"/>
    </row>
    <row r="298" spans="2:2" x14ac:dyDescent="0.3">
      <c r="B298" s="392"/>
    </row>
    <row r="299" spans="2:2" x14ac:dyDescent="0.3">
      <c r="B299" s="392"/>
    </row>
    <row r="300" spans="2:2" x14ac:dyDescent="0.3">
      <c r="B300" s="392"/>
    </row>
    <row r="301" spans="2:2" x14ac:dyDescent="0.3">
      <c r="B301" s="392"/>
    </row>
    <row r="302" spans="2:2" x14ac:dyDescent="0.3">
      <c r="B302" s="392"/>
    </row>
    <row r="303" spans="2:2" x14ac:dyDescent="0.3">
      <c r="B303" s="392"/>
    </row>
    <row r="304" spans="2:2" x14ac:dyDescent="0.3">
      <c r="B304" s="392"/>
    </row>
    <row r="305" spans="2:2" x14ac:dyDescent="0.3">
      <c r="B305" s="392"/>
    </row>
    <row r="306" spans="2:2" x14ac:dyDescent="0.3">
      <c r="B306" s="392"/>
    </row>
    <row r="307" spans="2:2" x14ac:dyDescent="0.3">
      <c r="B307" s="392"/>
    </row>
    <row r="308" spans="2:2" x14ac:dyDescent="0.3">
      <c r="B308" s="392"/>
    </row>
    <row r="309" spans="2:2" x14ac:dyDescent="0.3">
      <c r="B309" s="392"/>
    </row>
    <row r="310" spans="2:2" x14ac:dyDescent="0.3">
      <c r="B310" s="392"/>
    </row>
    <row r="311" spans="2:2" x14ac:dyDescent="0.3">
      <c r="B311" s="392"/>
    </row>
    <row r="312" spans="2:2" x14ac:dyDescent="0.3">
      <c r="B312" s="392"/>
    </row>
    <row r="313" spans="2:2" x14ac:dyDescent="0.3">
      <c r="B313" s="392"/>
    </row>
    <row r="314" spans="2:2" x14ac:dyDescent="0.3">
      <c r="B314" s="392"/>
    </row>
    <row r="315" spans="2:2" x14ac:dyDescent="0.3">
      <c r="B315" s="392"/>
    </row>
    <row r="316" spans="2:2" x14ac:dyDescent="0.3">
      <c r="B316" s="392"/>
    </row>
    <row r="317" spans="2:2" x14ac:dyDescent="0.3">
      <c r="B317" s="392"/>
    </row>
    <row r="318" spans="2:2" x14ac:dyDescent="0.3">
      <c r="B318" s="392"/>
    </row>
    <row r="319" spans="2:2" x14ac:dyDescent="0.3">
      <c r="B319" s="392"/>
    </row>
    <row r="320" spans="2:2" x14ac:dyDescent="0.3">
      <c r="B320" s="392"/>
    </row>
    <row r="321" spans="2:2" x14ac:dyDescent="0.3">
      <c r="B321" s="392"/>
    </row>
    <row r="322" spans="2:2" x14ac:dyDescent="0.3">
      <c r="B322" s="392"/>
    </row>
    <row r="323" spans="2:2" x14ac:dyDescent="0.3">
      <c r="B323" s="392"/>
    </row>
    <row r="324" spans="2:2" x14ac:dyDescent="0.3">
      <c r="B324" s="392"/>
    </row>
    <row r="325" spans="2:2" x14ac:dyDescent="0.3">
      <c r="B325" s="392"/>
    </row>
    <row r="326" spans="2:2" x14ac:dyDescent="0.3">
      <c r="B326" s="392"/>
    </row>
    <row r="327" spans="2:2" x14ac:dyDescent="0.3">
      <c r="B327" s="392"/>
    </row>
    <row r="328" spans="2:2" x14ac:dyDescent="0.3">
      <c r="B328" s="392"/>
    </row>
    <row r="329" spans="2:2" x14ac:dyDescent="0.3">
      <c r="B329" s="392"/>
    </row>
    <row r="330" spans="2:2" x14ac:dyDescent="0.3">
      <c r="B330" s="392"/>
    </row>
    <row r="331" spans="2:2" x14ac:dyDescent="0.3">
      <c r="B331" s="392"/>
    </row>
    <row r="332" spans="2:2" x14ac:dyDescent="0.3">
      <c r="B332" s="392"/>
    </row>
    <row r="333" spans="2:2" x14ac:dyDescent="0.3">
      <c r="B333" s="392"/>
    </row>
    <row r="334" spans="2:2" x14ac:dyDescent="0.3">
      <c r="B334" s="392"/>
    </row>
    <row r="335" spans="2:2" x14ac:dyDescent="0.3">
      <c r="B335" s="392"/>
    </row>
    <row r="336" spans="2:2" x14ac:dyDescent="0.3">
      <c r="B336" s="392"/>
    </row>
    <row r="337" spans="2:2" x14ac:dyDescent="0.3">
      <c r="B337" s="392"/>
    </row>
    <row r="338" spans="2:2" x14ac:dyDescent="0.3">
      <c r="B338" s="392"/>
    </row>
    <row r="339" spans="2:2" x14ac:dyDescent="0.3">
      <c r="B339" s="392"/>
    </row>
    <row r="340" spans="2:2" x14ac:dyDescent="0.3">
      <c r="B340" s="392"/>
    </row>
    <row r="341" spans="2:2" x14ac:dyDescent="0.3">
      <c r="B341" s="392"/>
    </row>
    <row r="342" spans="2:2" x14ac:dyDescent="0.3">
      <c r="B342" s="392"/>
    </row>
    <row r="343" spans="2:2" x14ac:dyDescent="0.3">
      <c r="B343" s="392"/>
    </row>
    <row r="344" spans="2:2" x14ac:dyDescent="0.3">
      <c r="B344" s="392"/>
    </row>
    <row r="345" spans="2:2" x14ac:dyDescent="0.3">
      <c r="B345" s="392"/>
    </row>
    <row r="346" spans="2:2" x14ac:dyDescent="0.3">
      <c r="B346" s="392"/>
    </row>
    <row r="347" spans="2:2" x14ac:dyDescent="0.3">
      <c r="B347" s="392"/>
    </row>
    <row r="348" spans="2:2" x14ac:dyDescent="0.3">
      <c r="B348" s="392"/>
    </row>
    <row r="349" spans="2:2" x14ac:dyDescent="0.3">
      <c r="B349" s="392"/>
    </row>
    <row r="350" spans="2:2" x14ac:dyDescent="0.3">
      <c r="B350" s="392"/>
    </row>
    <row r="351" spans="2:2" x14ac:dyDescent="0.3">
      <c r="B351" s="392"/>
    </row>
    <row r="352" spans="2:2" x14ac:dyDescent="0.3">
      <c r="B352" s="392"/>
    </row>
    <row r="353" spans="2:2" x14ac:dyDescent="0.3">
      <c r="B353" s="392"/>
    </row>
    <row r="354" spans="2:2" x14ac:dyDescent="0.3">
      <c r="B354" s="392"/>
    </row>
    <row r="355" spans="2:2" x14ac:dyDescent="0.3">
      <c r="B355" s="392"/>
    </row>
    <row r="356" spans="2:2" x14ac:dyDescent="0.3">
      <c r="B356" s="392"/>
    </row>
    <row r="357" spans="2:2" x14ac:dyDescent="0.3">
      <c r="B357" s="392"/>
    </row>
    <row r="358" spans="2:2" x14ac:dyDescent="0.3">
      <c r="B358" s="392"/>
    </row>
    <row r="359" spans="2:2" x14ac:dyDescent="0.3">
      <c r="B359" s="392"/>
    </row>
    <row r="360" spans="2:2" x14ac:dyDescent="0.3">
      <c r="B360" s="392"/>
    </row>
    <row r="361" spans="2:2" x14ac:dyDescent="0.3">
      <c r="B361" s="392"/>
    </row>
    <row r="362" spans="2:2" x14ac:dyDescent="0.3">
      <c r="B362" s="392"/>
    </row>
    <row r="363" spans="2:2" x14ac:dyDescent="0.3">
      <c r="B363" s="392"/>
    </row>
    <row r="364" spans="2:2" x14ac:dyDescent="0.3">
      <c r="B364" s="392"/>
    </row>
    <row r="365" spans="2:2" x14ac:dyDescent="0.3">
      <c r="B365" s="392"/>
    </row>
    <row r="366" spans="2:2" x14ac:dyDescent="0.3">
      <c r="B366" s="392"/>
    </row>
    <row r="367" spans="2:2" x14ac:dyDescent="0.3">
      <c r="B367" s="392"/>
    </row>
    <row r="368" spans="2:2" x14ac:dyDescent="0.3">
      <c r="B368" s="392"/>
    </row>
    <row r="369" spans="2:2" x14ac:dyDescent="0.3">
      <c r="B369" s="392"/>
    </row>
    <row r="370" spans="2:2" x14ac:dyDescent="0.3">
      <c r="B370" s="392"/>
    </row>
    <row r="371" spans="2:2" x14ac:dyDescent="0.3">
      <c r="B371" s="392"/>
    </row>
    <row r="372" spans="2:2" x14ac:dyDescent="0.3">
      <c r="B372" s="392"/>
    </row>
    <row r="373" spans="2:2" x14ac:dyDescent="0.3">
      <c r="B373" s="392"/>
    </row>
    <row r="374" spans="2:2" x14ac:dyDescent="0.3">
      <c r="B374" s="392"/>
    </row>
    <row r="375" spans="2:2" x14ac:dyDescent="0.3">
      <c r="B375" s="392"/>
    </row>
    <row r="376" spans="2:2" x14ac:dyDescent="0.3">
      <c r="B376" s="392"/>
    </row>
    <row r="377" spans="2:2" x14ac:dyDescent="0.3">
      <c r="B377" s="392"/>
    </row>
    <row r="378" spans="2:2" x14ac:dyDescent="0.3">
      <c r="B378" s="392"/>
    </row>
    <row r="379" spans="2:2" x14ac:dyDescent="0.3">
      <c r="B379" s="392"/>
    </row>
    <row r="380" spans="2:2" x14ac:dyDescent="0.3">
      <c r="B380" s="392"/>
    </row>
    <row r="381" spans="2:2" x14ac:dyDescent="0.3">
      <c r="B381" s="392"/>
    </row>
    <row r="382" spans="2:2" x14ac:dyDescent="0.3">
      <c r="B382" s="392"/>
    </row>
    <row r="383" spans="2:2" x14ac:dyDescent="0.3">
      <c r="B383" s="392"/>
    </row>
    <row r="384" spans="2:2" x14ac:dyDescent="0.3">
      <c r="B384" s="392"/>
    </row>
    <row r="385" spans="2:2" x14ac:dyDescent="0.3">
      <c r="B385" s="392"/>
    </row>
    <row r="386" spans="2:2" x14ac:dyDescent="0.3">
      <c r="B386" s="392"/>
    </row>
    <row r="387" spans="2:2" x14ac:dyDescent="0.3">
      <c r="B387" s="392"/>
    </row>
    <row r="388" spans="2:2" x14ac:dyDescent="0.3">
      <c r="B388" s="392"/>
    </row>
    <row r="389" spans="2:2" x14ac:dyDescent="0.3">
      <c r="B389" s="392"/>
    </row>
    <row r="390" spans="2:2" x14ac:dyDescent="0.3">
      <c r="B390" s="392"/>
    </row>
    <row r="391" spans="2:2" x14ac:dyDescent="0.3">
      <c r="B391" s="392"/>
    </row>
    <row r="392" spans="2:2" x14ac:dyDescent="0.3">
      <c r="B392" s="392"/>
    </row>
    <row r="393" spans="2:2" x14ac:dyDescent="0.3">
      <c r="B393" s="392"/>
    </row>
    <row r="394" spans="2:2" x14ac:dyDescent="0.3">
      <c r="B394" s="392"/>
    </row>
    <row r="395" spans="2:2" x14ac:dyDescent="0.3">
      <c r="B395" s="392"/>
    </row>
    <row r="396" spans="2:2" x14ac:dyDescent="0.3">
      <c r="B396" s="392"/>
    </row>
    <row r="397" spans="2:2" x14ac:dyDescent="0.3">
      <c r="B397" s="392"/>
    </row>
    <row r="398" spans="2:2" x14ac:dyDescent="0.3">
      <c r="B398" s="392"/>
    </row>
    <row r="399" spans="2:2" x14ac:dyDescent="0.3">
      <c r="B399" s="392"/>
    </row>
    <row r="400" spans="2:2" x14ac:dyDescent="0.3">
      <c r="B400" s="392"/>
    </row>
    <row r="401" spans="2:2" x14ac:dyDescent="0.3">
      <c r="B401" s="392"/>
    </row>
    <row r="402" spans="2:2" x14ac:dyDescent="0.3">
      <c r="B402" s="392"/>
    </row>
    <row r="403" spans="2:2" x14ac:dyDescent="0.3">
      <c r="B403" s="392"/>
    </row>
    <row r="404" spans="2:2" x14ac:dyDescent="0.3">
      <c r="B404" s="392"/>
    </row>
    <row r="405" spans="2:2" x14ac:dyDescent="0.3">
      <c r="B405" s="392"/>
    </row>
    <row r="406" spans="2:2" x14ac:dyDescent="0.3">
      <c r="B406" s="392"/>
    </row>
    <row r="407" spans="2:2" x14ac:dyDescent="0.3">
      <c r="B407" s="392"/>
    </row>
    <row r="408" spans="2:2" x14ac:dyDescent="0.3">
      <c r="B408" s="392"/>
    </row>
    <row r="409" spans="2:2" x14ac:dyDescent="0.3">
      <c r="B409" s="392"/>
    </row>
    <row r="410" spans="2:2" x14ac:dyDescent="0.3">
      <c r="B410" s="392"/>
    </row>
    <row r="411" spans="2:2" x14ac:dyDescent="0.3">
      <c r="B411" s="392"/>
    </row>
    <row r="412" spans="2:2" x14ac:dyDescent="0.3">
      <c r="B412" s="392"/>
    </row>
    <row r="413" spans="2:2" x14ac:dyDescent="0.3">
      <c r="B413" s="392"/>
    </row>
    <row r="414" spans="2:2" x14ac:dyDescent="0.3">
      <c r="B414" s="392"/>
    </row>
    <row r="415" spans="2:2" x14ac:dyDescent="0.3">
      <c r="B415" s="392"/>
    </row>
    <row r="416" spans="2:2" x14ac:dyDescent="0.3">
      <c r="B416" s="392"/>
    </row>
    <row r="417" spans="2:2" x14ac:dyDescent="0.3">
      <c r="B417" s="392"/>
    </row>
    <row r="418" spans="2:2" x14ac:dyDescent="0.3">
      <c r="B418" s="392"/>
    </row>
    <row r="419" spans="2:2" x14ac:dyDescent="0.3">
      <c r="B419" s="392"/>
    </row>
    <row r="420" spans="2:2" x14ac:dyDescent="0.3">
      <c r="B420" s="392"/>
    </row>
    <row r="421" spans="2:2" x14ac:dyDescent="0.3">
      <c r="B421" s="392"/>
    </row>
    <row r="422" spans="2:2" x14ac:dyDescent="0.3">
      <c r="B422" s="392"/>
    </row>
    <row r="423" spans="2:2" x14ac:dyDescent="0.3">
      <c r="B423" s="392"/>
    </row>
    <row r="424" spans="2:2" x14ac:dyDescent="0.3">
      <c r="B424" s="392"/>
    </row>
    <row r="425" spans="2:2" x14ac:dyDescent="0.3">
      <c r="B425" s="392"/>
    </row>
    <row r="426" spans="2:2" x14ac:dyDescent="0.3">
      <c r="B426" s="392"/>
    </row>
    <row r="427" spans="2:2" x14ac:dyDescent="0.3">
      <c r="B427" s="392"/>
    </row>
    <row r="428" spans="2:2" x14ac:dyDescent="0.3">
      <c r="B428" s="392"/>
    </row>
    <row r="429" spans="2:2" x14ac:dyDescent="0.3">
      <c r="B429" s="392"/>
    </row>
    <row r="430" spans="2:2" x14ac:dyDescent="0.3">
      <c r="B430" s="392"/>
    </row>
    <row r="431" spans="2:2" x14ac:dyDescent="0.3">
      <c r="B431" s="392"/>
    </row>
    <row r="432" spans="2:2" x14ac:dyDescent="0.3">
      <c r="B432" s="392"/>
    </row>
    <row r="433" spans="2:2" x14ac:dyDescent="0.3">
      <c r="B433" s="392"/>
    </row>
    <row r="434" spans="2:2" x14ac:dyDescent="0.3">
      <c r="B434" s="392"/>
    </row>
    <row r="435" spans="2:2" x14ac:dyDescent="0.3">
      <c r="B435" s="392"/>
    </row>
    <row r="436" spans="2:2" x14ac:dyDescent="0.3">
      <c r="B436" s="392"/>
    </row>
    <row r="437" spans="2:2" x14ac:dyDescent="0.3">
      <c r="B437" s="392"/>
    </row>
    <row r="438" spans="2:2" x14ac:dyDescent="0.3">
      <c r="B438" s="392"/>
    </row>
    <row r="439" spans="2:2" x14ac:dyDescent="0.3">
      <c r="B439" s="392"/>
    </row>
    <row r="440" spans="2:2" x14ac:dyDescent="0.3">
      <c r="B440" s="392"/>
    </row>
    <row r="441" spans="2:2" x14ac:dyDescent="0.3">
      <c r="B441" s="392"/>
    </row>
    <row r="442" spans="2:2" x14ac:dyDescent="0.3">
      <c r="B442" s="392"/>
    </row>
    <row r="443" spans="2:2" x14ac:dyDescent="0.3">
      <c r="B443" s="392"/>
    </row>
    <row r="444" spans="2:2" x14ac:dyDescent="0.3">
      <c r="B444" s="392"/>
    </row>
    <row r="445" spans="2:2" x14ac:dyDescent="0.3">
      <c r="B445" s="392"/>
    </row>
    <row r="446" spans="2:2" x14ac:dyDescent="0.3">
      <c r="B446" s="392"/>
    </row>
    <row r="447" spans="2:2" x14ac:dyDescent="0.3">
      <c r="B447" s="392"/>
    </row>
    <row r="448" spans="2:2" x14ac:dyDescent="0.3">
      <c r="B448" s="392"/>
    </row>
    <row r="449" spans="2:2" x14ac:dyDescent="0.3">
      <c r="B449" s="392"/>
    </row>
    <row r="450" spans="2:2" x14ac:dyDescent="0.3">
      <c r="B450" s="392"/>
    </row>
    <row r="451" spans="2:2" x14ac:dyDescent="0.3">
      <c r="B451" s="392"/>
    </row>
    <row r="452" spans="2:2" x14ac:dyDescent="0.3">
      <c r="B452" s="392"/>
    </row>
    <row r="453" spans="2:2" x14ac:dyDescent="0.3">
      <c r="B453" s="392"/>
    </row>
    <row r="454" spans="2:2" x14ac:dyDescent="0.3">
      <c r="B454" s="392"/>
    </row>
    <row r="455" spans="2:2" x14ac:dyDescent="0.3">
      <c r="B455" s="392"/>
    </row>
    <row r="456" spans="2:2" x14ac:dyDescent="0.3">
      <c r="B456" s="392"/>
    </row>
    <row r="457" spans="2:2" x14ac:dyDescent="0.3">
      <c r="B457" s="392"/>
    </row>
    <row r="458" spans="2:2" x14ac:dyDescent="0.3">
      <c r="B458" s="392"/>
    </row>
    <row r="459" spans="2:2" x14ac:dyDescent="0.3">
      <c r="B459" s="392"/>
    </row>
    <row r="460" spans="2:2" x14ac:dyDescent="0.3">
      <c r="B460" s="392"/>
    </row>
    <row r="461" spans="2:2" x14ac:dyDescent="0.3">
      <c r="B461" s="392"/>
    </row>
    <row r="462" spans="2:2" x14ac:dyDescent="0.3">
      <c r="B462" s="392"/>
    </row>
    <row r="463" spans="2:2" x14ac:dyDescent="0.3">
      <c r="B463" s="392"/>
    </row>
    <row r="464" spans="2:2" x14ac:dyDescent="0.3">
      <c r="B464" s="392"/>
    </row>
    <row r="465" spans="2:2" x14ac:dyDescent="0.3">
      <c r="B465" s="392"/>
    </row>
    <row r="466" spans="2:2" x14ac:dyDescent="0.3">
      <c r="B466" s="392"/>
    </row>
    <row r="467" spans="2:2" x14ac:dyDescent="0.3">
      <c r="B467" s="392"/>
    </row>
    <row r="468" spans="2:2" x14ac:dyDescent="0.3">
      <c r="B468" s="392"/>
    </row>
    <row r="469" spans="2:2" x14ac:dyDescent="0.3">
      <c r="B469" s="392"/>
    </row>
    <row r="470" spans="2:2" x14ac:dyDescent="0.3">
      <c r="B470" s="392"/>
    </row>
    <row r="471" spans="2:2" x14ac:dyDescent="0.3">
      <c r="B471" s="392"/>
    </row>
    <row r="472" spans="2:2" x14ac:dyDescent="0.3">
      <c r="B472" s="392"/>
    </row>
    <row r="473" spans="2:2" x14ac:dyDescent="0.3">
      <c r="B473" s="392"/>
    </row>
    <row r="474" spans="2:2" x14ac:dyDescent="0.3">
      <c r="B474" s="392"/>
    </row>
    <row r="475" spans="2:2" x14ac:dyDescent="0.3">
      <c r="B475" s="392"/>
    </row>
    <row r="476" spans="2:2" x14ac:dyDescent="0.3">
      <c r="B476" s="392"/>
    </row>
    <row r="477" spans="2:2" x14ac:dyDescent="0.3">
      <c r="B477" s="392"/>
    </row>
    <row r="478" spans="2:2" x14ac:dyDescent="0.3">
      <c r="B478" s="392"/>
    </row>
    <row r="479" spans="2:2" x14ac:dyDescent="0.3">
      <c r="B479" s="392"/>
    </row>
    <row r="480" spans="2:2" x14ac:dyDescent="0.3">
      <c r="B480" s="392"/>
    </row>
    <row r="481" spans="2:2" x14ac:dyDescent="0.3">
      <c r="B481" s="392"/>
    </row>
    <row r="482" spans="2:2" x14ac:dyDescent="0.3">
      <c r="B482" s="392"/>
    </row>
  </sheetData>
  <mergeCells count="11">
    <mergeCell ref="T204:V204"/>
    <mergeCell ref="A1:B3"/>
    <mergeCell ref="A4:O4"/>
    <mergeCell ref="E5:F5"/>
    <mergeCell ref="M5:N5"/>
    <mergeCell ref="M6:N6"/>
    <mergeCell ref="Q1:R1"/>
    <mergeCell ref="Q2:R2"/>
    <mergeCell ref="Q3:R3"/>
    <mergeCell ref="C1:P2"/>
    <mergeCell ref="C3:P3"/>
  </mergeCells>
  <phoneticPr fontId="24" type="noConversion"/>
  <conditionalFormatting sqref="I5 D5 L5 G5 B5:B6 O5">
    <cfRule type="containsBlanks" dxfId="3" priority="4">
      <formula>LEN(TRIM(B5))=0</formula>
    </cfRule>
  </conditionalFormatting>
  <conditionalFormatting sqref="L6 O6">
    <cfRule type="containsBlanks" dxfId="2" priority="3">
      <formula>LEN(TRIM(L6))=0</formula>
    </cfRule>
  </conditionalFormatting>
  <conditionalFormatting sqref="D6">
    <cfRule type="containsBlanks" dxfId="1" priority="2">
      <formula>LEN(TRIM(D6))=0</formula>
    </cfRule>
  </conditionalFormatting>
  <conditionalFormatting sqref="F6">
    <cfRule type="containsBlanks" dxfId="0" priority="1">
      <formula>LEN(TRIM(F6))=0</formula>
    </cfRule>
  </conditionalFormatting>
  <dataValidations count="7">
    <dataValidation type="list" showInputMessage="1" showErrorMessage="1" sqref="B18:B247" xr:uid="{E368EB78-68F8-4A3D-B93D-0518E0CAD27A}">
      <formula1>MATRICES</formula1>
    </dataValidation>
    <dataValidation type="list" allowBlank="1" showInputMessage="1" showErrorMessage="1" sqref="P18:P247" xr:uid="{DF761427-53B3-41A8-99BC-6F2F60403DC4}">
      <formula1>"ACEPTADO, RECHAZADO"</formula1>
    </dataValidation>
    <dataValidation type="date" operator="greaterThanOrEqual" allowBlank="1" showInputMessage="1" showErrorMessage="1" sqref="A18:A247" xr:uid="{DBA085EB-76B1-4FE2-B1EE-3F71EF47BE28}">
      <formula1>1</formula1>
    </dataValidation>
    <dataValidation type="textLength" operator="lessThanOrEqual" allowBlank="1" showInputMessage="1" showErrorMessage="1" sqref="C18:C247" xr:uid="{99F41606-5978-479B-8776-3B031A758B61}">
      <formula1>10</formula1>
    </dataValidation>
    <dataValidation type="decimal" allowBlank="1" showInputMessage="1" showErrorMessage="1" sqref="E18:J247" xr:uid="{09522709-B87B-47BE-B36D-07924F7B785C}">
      <formula1>0</formula1>
      <formula2>200</formula2>
    </dataValidation>
    <dataValidation type="decimal" allowBlank="1" showInputMessage="1" showErrorMessage="1" sqref="M18:M247" xr:uid="{DE52844F-AE6D-4051-81A6-41EBB90DD2C0}">
      <formula1>0</formula1>
      <formula2>100</formula2>
    </dataValidation>
    <dataValidation type="textLength" allowBlank="1" showInputMessage="1" showErrorMessage="1" sqref="N18:O247" xr:uid="{A4A5F910-BE1F-405C-B341-AC7601C575E0}">
      <formula1>3</formula1>
      <formula2>4</formula2>
    </dataValidation>
  </dataValidations>
  <pageMargins left="0.7" right="0.7" top="0.75" bottom="0.75" header="0.3" footer="0.3"/>
  <pageSetup scale="10" orientation="landscape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 xr:uid="{0FD13B2A-9D2D-4D4A-A1F9-DC005BDEA97A}">
          <x14:formula1>
            <xm:f>Matrices!$I$2:$I$5</xm:f>
          </x14:formula1>
          <xm:sqref>D18:D140</xm:sqref>
        </x14:dataValidation>
        <x14:dataValidation type="list" showInputMessage="1" showErrorMessage="1" xr:uid="{53C62629-EC45-4BD7-811F-DAA1C5D31194}">
          <x14:formula1>
            <xm:f>Matrices!$A$2:$A$31</xm:f>
          </x14:formula1>
          <xm:sqref>B248:B482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3A1665-068A-4F92-9C1D-2263ABC33854}">
  <dimension ref="A1:F32"/>
  <sheetViews>
    <sheetView topLeftCell="A2" workbookViewId="0">
      <selection sqref="A1:XFD1"/>
    </sheetView>
  </sheetViews>
  <sheetFormatPr baseColWidth="10" defaultRowHeight="15" x14ac:dyDescent="0.3"/>
  <cols>
    <col min="1" max="1" width="10.375" customWidth="1"/>
    <col min="2" max="2" width="14.25" customWidth="1"/>
    <col min="3" max="3" width="33.375" customWidth="1"/>
    <col min="4" max="4" width="8.375" style="176" customWidth="1"/>
    <col min="5" max="5" width="18.875" style="176" customWidth="1"/>
    <col min="6" max="6" width="20.75" style="176" customWidth="1"/>
    <col min="7" max="7" width="45.5" customWidth="1"/>
    <col min="8" max="8" width="10.5" bestFit="1" customWidth="1"/>
  </cols>
  <sheetData>
    <row r="1" spans="1:6" s="147" customFormat="1" ht="16.5" hidden="1" x14ac:dyDescent="0.3">
      <c r="A1" s="147" t="str">
        <f>"GRAFICO CONTROL DE PRECISIÓN PARA "&amp;C1&amp;" ENTRE "&amp;TEXT(E1,"yyyy-mm-dd")&amp;" Y "&amp;TEXT(F1,"yyyy-mm-dd")</f>
        <v>GRAFICO CONTROL DE PRECISIÓN PARA LECHE Y PRODUCTOS LACTEOS ENTRE 2021-01-18 Y 2021-12-30</v>
      </c>
      <c r="C1" s="147" t="str">
        <f>VLOOKUP(E1,PRECISION[#All],3,TRUE)</f>
        <v>LECHE Y PRODUCTOS LACTEOS</v>
      </c>
      <c r="D1" s="176"/>
      <c r="E1" s="344">
        <f>SUBTOTAL(105,PRECISION[FECHA])</f>
        <v>44214</v>
      </c>
      <c r="F1" s="344">
        <f>SUBTOTAL(104,PRECISION[FECHA])</f>
        <v>44560</v>
      </c>
    </row>
    <row r="2" spans="1:6" ht="16.5" x14ac:dyDescent="0.3">
      <c r="A2" t="s">
        <v>62</v>
      </c>
      <c r="B2" t="s">
        <v>64</v>
      </c>
      <c r="C2" t="s">
        <v>269</v>
      </c>
      <c r="D2" s="176" t="s">
        <v>1337</v>
      </c>
      <c r="E2" s="176" t="s">
        <v>1332</v>
      </c>
      <c r="F2" s="176" t="s">
        <v>1333</v>
      </c>
    </row>
    <row r="3" spans="1:6" ht="16.5" x14ac:dyDescent="0.3">
      <c r="A3" s="23">
        <v>44214</v>
      </c>
      <c r="B3" s="147" t="s">
        <v>1323</v>
      </c>
      <c r="C3" s="147" t="s">
        <v>905</v>
      </c>
      <c r="D3" s="176">
        <v>0.25930680359428399</v>
      </c>
      <c r="E3" s="176">
        <v>0.24861417883621301</v>
      </c>
      <c r="F3" s="176">
        <v>0.32366259580601597</v>
      </c>
    </row>
    <row r="4" spans="1:6" ht="16.5" x14ac:dyDescent="0.3">
      <c r="A4" s="23">
        <v>44238</v>
      </c>
      <c r="B4" s="147" t="s">
        <v>1223</v>
      </c>
      <c r="C4" s="147" t="s">
        <v>905</v>
      </c>
      <c r="D4" s="176">
        <v>1.6223248006714099</v>
      </c>
      <c r="E4" s="176">
        <v>0.24861417883621301</v>
      </c>
      <c r="F4" s="176">
        <v>0.32366259580601597</v>
      </c>
    </row>
    <row r="5" spans="1:6" ht="16.5" x14ac:dyDescent="0.3">
      <c r="A5" s="23">
        <v>44238</v>
      </c>
      <c r="B5" s="147" t="s">
        <v>1224</v>
      </c>
      <c r="C5" s="147" t="s">
        <v>905</v>
      </c>
      <c r="D5" s="176">
        <v>9.0047393364804607E-2</v>
      </c>
      <c r="E5" s="176">
        <v>0.24861417883621301</v>
      </c>
      <c r="F5" s="176">
        <v>0.32366259580601597</v>
      </c>
    </row>
    <row r="6" spans="1:6" ht="16.5" x14ac:dyDescent="0.3">
      <c r="A6" s="23">
        <v>44268</v>
      </c>
      <c r="B6" s="147" t="s">
        <v>1229</v>
      </c>
      <c r="C6" s="147" t="s">
        <v>905</v>
      </c>
      <c r="D6" s="176">
        <v>7.9320113314465104E-2</v>
      </c>
      <c r="E6" s="176">
        <v>0.24861417883621301</v>
      </c>
      <c r="F6" s="176">
        <v>0.32366259580601597</v>
      </c>
    </row>
    <row r="7" spans="1:6" ht="16.5" x14ac:dyDescent="0.3">
      <c r="A7" s="23">
        <v>44272</v>
      </c>
      <c r="B7" s="147" t="s">
        <v>1236</v>
      </c>
      <c r="C7" s="147" t="s">
        <v>905</v>
      </c>
      <c r="D7" s="176">
        <v>7.5736325385668005E-2</v>
      </c>
      <c r="E7" s="176">
        <v>0.24861417883621301</v>
      </c>
      <c r="F7" s="176">
        <v>0.32366259580601597</v>
      </c>
    </row>
    <row r="8" spans="1:6" ht="16.5" x14ac:dyDescent="0.3">
      <c r="A8" s="23">
        <v>44300</v>
      </c>
      <c r="B8" s="147" t="s">
        <v>1250</v>
      </c>
      <c r="C8" s="147" t="s">
        <v>905</v>
      </c>
      <c r="D8" s="176">
        <v>9.5459837019821497E-2</v>
      </c>
      <c r="E8" s="176">
        <v>0.24861417883621301</v>
      </c>
      <c r="F8" s="176">
        <v>0.32366259580601597</v>
      </c>
    </row>
    <row r="9" spans="1:6" ht="16.5" x14ac:dyDescent="0.3">
      <c r="A9" s="23">
        <v>44306</v>
      </c>
      <c r="B9" s="147" t="s">
        <v>1256</v>
      </c>
      <c r="C9" s="147" t="s">
        <v>905</v>
      </c>
      <c r="D9" s="176">
        <v>8.9430894308887399E-2</v>
      </c>
      <c r="E9" s="176">
        <v>0.24861417883621301</v>
      </c>
      <c r="F9" s="176">
        <v>0.32366259580601597</v>
      </c>
    </row>
    <row r="10" spans="1:6" ht="16.5" x14ac:dyDescent="0.3">
      <c r="A10" s="23">
        <v>44315</v>
      </c>
      <c r="B10" s="147" t="s">
        <v>1258</v>
      </c>
      <c r="C10" s="147" t="s">
        <v>905</v>
      </c>
      <c r="D10" s="176">
        <v>5.3097345132609698E-2</v>
      </c>
      <c r="E10" s="176">
        <v>0.24861417883621301</v>
      </c>
      <c r="F10" s="176">
        <v>0.32366259580601597</v>
      </c>
    </row>
    <row r="11" spans="1:6" ht="16.5" x14ac:dyDescent="0.3">
      <c r="A11" s="23">
        <v>44319</v>
      </c>
      <c r="B11" s="147" t="s">
        <v>1262</v>
      </c>
      <c r="C11" s="147" t="s">
        <v>905</v>
      </c>
      <c r="D11" s="176">
        <v>2.21238938053369E-2</v>
      </c>
      <c r="E11" s="176">
        <v>0.24861417883621301</v>
      </c>
      <c r="F11" s="176">
        <v>0.32366259580601597</v>
      </c>
    </row>
    <row r="12" spans="1:6" ht="16.5" x14ac:dyDescent="0.3">
      <c r="A12" s="23">
        <v>44560</v>
      </c>
      <c r="B12" s="147" t="s">
        <v>1321</v>
      </c>
      <c r="C12" s="147" t="s">
        <v>905</v>
      </c>
      <c r="E12" s="176">
        <v>0.24861417883621301</v>
      </c>
      <c r="F12" s="176">
        <v>0.32366259580601597</v>
      </c>
    </row>
    <row r="13" spans="1:6" ht="16.5" x14ac:dyDescent="0.3">
      <c r="A13" s="23">
        <v>44218</v>
      </c>
      <c r="B13" s="147" t="s">
        <v>1325</v>
      </c>
      <c r="C13" s="147" t="s">
        <v>914</v>
      </c>
      <c r="D13" s="176">
        <v>0</v>
      </c>
      <c r="E13" s="176">
        <v>0.26016649943389403</v>
      </c>
      <c r="F13" s="176">
        <v>0.342830498071653</v>
      </c>
    </row>
    <row r="14" spans="1:6" ht="16.5" x14ac:dyDescent="0.3">
      <c r="A14" s="23">
        <v>44218</v>
      </c>
      <c r="B14" s="147" t="s">
        <v>1327</v>
      </c>
      <c r="C14" s="147" t="s">
        <v>914</v>
      </c>
      <c r="D14" s="176">
        <v>9.3913043478263E-2</v>
      </c>
      <c r="E14" s="176">
        <v>0.26016649943389403</v>
      </c>
      <c r="F14" s="176">
        <v>0.342830498071653</v>
      </c>
    </row>
    <row r="15" spans="1:6" ht="16.5" x14ac:dyDescent="0.3">
      <c r="A15" s="23">
        <v>44224</v>
      </c>
      <c r="B15" s="147" t="s">
        <v>1325</v>
      </c>
      <c r="C15" s="147" t="s">
        <v>914</v>
      </c>
      <c r="D15" s="176">
        <v>0.12887828162294501</v>
      </c>
      <c r="E15" s="176">
        <v>0.26016649943389403</v>
      </c>
      <c r="F15" s="176">
        <v>0.342830498071653</v>
      </c>
    </row>
    <row r="16" spans="1:6" ht="16.5" x14ac:dyDescent="0.3">
      <c r="A16" s="23">
        <v>44224</v>
      </c>
      <c r="B16" s="147" t="s">
        <v>1327</v>
      </c>
      <c r="C16" s="147" t="s">
        <v>914</v>
      </c>
      <c r="D16" s="176">
        <v>0.24505928853756001</v>
      </c>
      <c r="E16" s="176">
        <v>0.26016649943389403</v>
      </c>
      <c r="F16" s="176">
        <v>0.342830498071653</v>
      </c>
    </row>
    <row r="17" spans="1:6" ht="16.5" x14ac:dyDescent="0.3">
      <c r="A17" s="23">
        <v>44300</v>
      </c>
      <c r="B17" s="147" t="s">
        <v>1252</v>
      </c>
      <c r="C17" s="147" t="s">
        <v>914</v>
      </c>
      <c r="D17" s="176">
        <v>8.7976539589409396E-3</v>
      </c>
      <c r="E17" s="176">
        <v>0.26016649943389403</v>
      </c>
      <c r="F17" s="176">
        <v>0.342830498071653</v>
      </c>
    </row>
    <row r="18" spans="1:6" ht="16.5" x14ac:dyDescent="0.3">
      <c r="A18" s="23">
        <v>44319</v>
      </c>
      <c r="B18" s="147" t="s">
        <v>1261</v>
      </c>
      <c r="C18" s="147" t="s">
        <v>914</v>
      </c>
      <c r="D18" s="176">
        <v>0.13333333333335101</v>
      </c>
      <c r="E18" s="176">
        <v>0.26016649943389403</v>
      </c>
      <c r="F18" s="176">
        <v>0.342830498071653</v>
      </c>
    </row>
    <row r="19" spans="1:6" ht="16.5" x14ac:dyDescent="0.3">
      <c r="A19" s="23">
        <v>44327</v>
      </c>
      <c r="B19" s="147" t="s">
        <v>1264</v>
      </c>
      <c r="C19" s="147" t="s">
        <v>914</v>
      </c>
      <c r="D19" s="176">
        <v>1.7699115044208801E-2</v>
      </c>
      <c r="E19" s="176">
        <v>0.26016649943389403</v>
      </c>
      <c r="F19" s="176">
        <v>0.342830498071653</v>
      </c>
    </row>
    <row r="20" spans="1:6" ht="16.5" x14ac:dyDescent="0.3">
      <c r="A20" s="23">
        <v>44257</v>
      </c>
      <c r="B20" s="147" t="s">
        <v>1227</v>
      </c>
      <c r="C20" s="147" t="s">
        <v>900</v>
      </c>
      <c r="D20" s="176">
        <v>7.3884626314121397E-3</v>
      </c>
      <c r="E20" s="176">
        <v>4.0431658973444098E-2</v>
      </c>
      <c r="F20" s="176">
        <v>5.07591594229009E-2</v>
      </c>
    </row>
    <row r="21" spans="1:6" ht="16.5" x14ac:dyDescent="0.3">
      <c r="A21" s="23">
        <v>44279</v>
      </c>
      <c r="B21" s="147" t="s">
        <v>1247</v>
      </c>
      <c r="C21" s="147" t="s">
        <v>897</v>
      </c>
      <c r="D21" s="176">
        <v>0.101752402487285</v>
      </c>
      <c r="E21" s="176">
        <v>0.17742083557089999</v>
      </c>
      <c r="F21" s="176">
        <v>0.232160361821935</v>
      </c>
    </row>
    <row r="22" spans="1:6" ht="16.5" x14ac:dyDescent="0.3">
      <c r="A22" s="23">
        <v>44300</v>
      </c>
      <c r="B22" s="147" t="s">
        <v>1251</v>
      </c>
      <c r="C22" s="147" t="s">
        <v>897</v>
      </c>
      <c r="D22" s="176">
        <v>8.2417582416903397E-3</v>
      </c>
      <c r="E22" s="176">
        <v>0.17742083557089999</v>
      </c>
      <c r="F22" s="176">
        <v>0.232160361821935</v>
      </c>
    </row>
    <row r="23" spans="1:6" ht="16.5" x14ac:dyDescent="0.3">
      <c r="A23" s="23">
        <v>44327</v>
      </c>
      <c r="B23" s="147" t="s">
        <v>1265</v>
      </c>
      <c r="C23" s="147" t="s">
        <v>897</v>
      </c>
      <c r="D23" s="176">
        <v>3.0030030030031799E-2</v>
      </c>
      <c r="E23" s="176">
        <v>0.17742083557089999</v>
      </c>
      <c r="F23" s="176">
        <v>0.232160361821935</v>
      </c>
    </row>
    <row r="24" spans="1:6" ht="16.5" x14ac:dyDescent="0.3">
      <c r="A24" s="23">
        <v>44257</v>
      </c>
      <c r="B24" s="147" t="s">
        <v>1226</v>
      </c>
      <c r="C24" s="147" t="s">
        <v>901</v>
      </c>
      <c r="D24" s="176">
        <v>4.1623309052972197E-3</v>
      </c>
    </row>
    <row r="25" spans="1:6" ht="16.5" x14ac:dyDescent="0.3">
      <c r="A25" s="23">
        <v>44268</v>
      </c>
      <c r="B25" s="147" t="s">
        <v>1234</v>
      </c>
      <c r="C25" s="147" t="s">
        <v>911</v>
      </c>
      <c r="D25" s="176">
        <v>0.18423041397262599</v>
      </c>
      <c r="E25" s="176">
        <v>0.12439221210634401</v>
      </c>
      <c r="F25" s="176">
        <v>0.16871469852761001</v>
      </c>
    </row>
    <row r="26" spans="1:6" ht="16.5" x14ac:dyDescent="0.3">
      <c r="A26" s="23">
        <v>44272</v>
      </c>
      <c r="B26" s="147" t="s">
        <v>1235</v>
      </c>
      <c r="C26" s="147" t="s">
        <v>911</v>
      </c>
      <c r="D26" s="176">
        <v>8.6834733893553395E-2</v>
      </c>
      <c r="E26" s="176">
        <v>0.12439221210634401</v>
      </c>
      <c r="F26" s="176">
        <v>0.16871469852761001</v>
      </c>
    </row>
    <row r="27" spans="1:6" ht="16.5" x14ac:dyDescent="0.3">
      <c r="A27" s="23">
        <v>44279</v>
      </c>
      <c r="B27" s="147" t="s">
        <v>1245</v>
      </c>
      <c r="C27" s="147" t="s">
        <v>911</v>
      </c>
      <c r="D27" s="176">
        <v>1.4262205156302299E-2</v>
      </c>
      <c r="E27" s="176">
        <v>0.12439221210634401</v>
      </c>
      <c r="F27" s="176">
        <v>0.16871469852761001</v>
      </c>
    </row>
    <row r="28" spans="1:6" ht="16.5" x14ac:dyDescent="0.3">
      <c r="A28" s="23">
        <v>44289</v>
      </c>
      <c r="B28" s="147" t="s">
        <v>1244</v>
      </c>
      <c r="C28" s="147" t="s">
        <v>911</v>
      </c>
      <c r="D28" s="176">
        <v>1.36518771330735E-2</v>
      </c>
      <c r="E28" s="176">
        <v>0.12439221210634401</v>
      </c>
      <c r="F28" s="176">
        <v>0.16871469852761001</v>
      </c>
    </row>
    <row r="29" spans="1:6" ht="16.5" x14ac:dyDescent="0.3">
      <c r="A29" s="23">
        <v>44275</v>
      </c>
      <c r="B29" s="147" t="s">
        <v>1242</v>
      </c>
      <c r="C29" s="147" t="s">
        <v>1307</v>
      </c>
      <c r="D29" s="176">
        <v>1.55092193692862E-2</v>
      </c>
    </row>
    <row r="30" spans="1:6" ht="16.5" x14ac:dyDescent="0.3">
      <c r="A30" s="23">
        <v>44279</v>
      </c>
      <c r="B30" s="147" t="s">
        <v>1248</v>
      </c>
      <c r="C30" s="147" t="s">
        <v>1307</v>
      </c>
      <c r="D30" s="176">
        <v>4.5865768988005699E-2</v>
      </c>
    </row>
    <row r="31" spans="1:6" ht="16.5" x14ac:dyDescent="0.3">
      <c r="A31" s="23">
        <v>44319</v>
      </c>
      <c r="B31" s="147" t="s">
        <v>1260</v>
      </c>
      <c r="C31" s="147" t="s">
        <v>1307</v>
      </c>
      <c r="D31" s="176">
        <v>5.2464228934807199E-2</v>
      </c>
    </row>
    <row r="32" spans="1:6" ht="16.5" x14ac:dyDescent="0.3">
      <c r="A32" s="23">
        <v>44306</v>
      </c>
      <c r="B32" s="147" t="s">
        <v>1251</v>
      </c>
      <c r="C32" s="147" t="s">
        <v>1255</v>
      </c>
    </row>
  </sheetData>
  <phoneticPr fontId="24" type="noConversion"/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R273"/>
  <sheetViews>
    <sheetView topLeftCell="C1" zoomScaleNormal="100" workbookViewId="0">
      <selection activeCell="B281" sqref="B281"/>
    </sheetView>
  </sheetViews>
  <sheetFormatPr baseColWidth="10" defaultRowHeight="16.5" x14ac:dyDescent="0.3"/>
  <cols>
    <col min="2" max="2" width="91.375" customWidth="1"/>
    <col min="3" max="3" width="21.875" style="14" customWidth="1"/>
    <col min="7" max="7" width="22.25" customWidth="1"/>
    <col min="8" max="8" width="18.5" customWidth="1"/>
    <col min="10" max="10" width="17.375" customWidth="1"/>
    <col min="11" max="12" width="12.5" customWidth="1"/>
    <col min="13" max="13" width="14.75" customWidth="1"/>
    <col min="14" max="14" width="12.5" customWidth="1"/>
    <col min="15" max="15" width="22.75" customWidth="1"/>
    <col min="16" max="16" width="15.625" customWidth="1"/>
    <col min="17" max="17" width="11.875" customWidth="1"/>
    <col min="18" max="18" width="8.875" customWidth="1"/>
    <col min="19" max="19" width="18.5" customWidth="1"/>
    <col min="20" max="20" width="21" customWidth="1"/>
    <col min="21" max="21" width="16.75" customWidth="1"/>
  </cols>
  <sheetData>
    <row r="1" spans="1:18" ht="16.5" customHeight="1" x14ac:dyDescent="0.3">
      <c r="A1" s="214"/>
      <c r="B1" s="214"/>
      <c r="C1" s="215" t="s">
        <v>833</v>
      </c>
      <c r="D1" s="215"/>
      <c r="E1" s="215"/>
      <c r="F1" s="215"/>
      <c r="G1" s="215"/>
      <c r="H1" s="215"/>
      <c r="I1" s="208" t="s">
        <v>834</v>
      </c>
      <c r="J1" s="209"/>
      <c r="K1" s="209"/>
      <c r="L1" s="209"/>
      <c r="M1" s="209"/>
      <c r="N1" s="209"/>
      <c r="O1" s="209"/>
      <c r="P1" s="209"/>
      <c r="Q1" s="209"/>
      <c r="R1" s="210"/>
    </row>
    <row r="2" spans="1:18" x14ac:dyDescent="0.3">
      <c r="A2" s="214"/>
      <c r="B2" s="214"/>
      <c r="C2" s="215"/>
      <c r="D2" s="215"/>
      <c r="E2" s="215"/>
      <c r="F2" s="215"/>
      <c r="G2" s="215"/>
      <c r="H2" s="215"/>
      <c r="I2" s="208" t="s">
        <v>6</v>
      </c>
      <c r="J2" s="209"/>
      <c r="K2" s="209"/>
      <c r="L2" s="209"/>
      <c r="M2" s="209"/>
      <c r="N2" s="209"/>
      <c r="O2" s="209"/>
      <c r="P2" s="209"/>
      <c r="Q2" s="209"/>
      <c r="R2" s="210"/>
    </row>
    <row r="3" spans="1:18" x14ac:dyDescent="0.3">
      <c r="A3" s="214"/>
      <c r="B3" s="214"/>
      <c r="C3" s="215"/>
      <c r="D3" s="215"/>
      <c r="E3" s="215"/>
      <c r="F3" s="215"/>
      <c r="G3" s="215"/>
      <c r="H3" s="215"/>
      <c r="I3" s="211" t="s">
        <v>835</v>
      </c>
      <c r="J3" s="212"/>
      <c r="K3" s="212"/>
      <c r="L3" s="212"/>
      <c r="M3" s="212"/>
      <c r="N3" s="212"/>
      <c r="O3" s="212"/>
      <c r="P3" s="212"/>
      <c r="Q3" s="212"/>
      <c r="R3" s="213"/>
    </row>
    <row r="4" spans="1:18" ht="27.75" customHeight="1" x14ac:dyDescent="0.3">
      <c r="A4" s="207" t="s">
        <v>832</v>
      </c>
      <c r="B4" s="207"/>
      <c r="C4" s="207"/>
      <c r="D4" s="207"/>
      <c r="E4" s="207"/>
      <c r="F4" s="207"/>
      <c r="G4" s="207"/>
      <c r="H4" s="207"/>
      <c r="I4" s="207"/>
      <c r="J4" s="207"/>
      <c r="K4" s="207"/>
      <c r="L4" s="207"/>
      <c r="M4" s="207"/>
      <c r="N4" s="207"/>
      <c r="O4" s="207"/>
      <c r="P4" s="207"/>
      <c r="Q4" s="207"/>
      <c r="R4" s="207"/>
    </row>
    <row r="5" spans="1:18" ht="72" x14ac:dyDescent="0.3">
      <c r="A5" s="109" t="s">
        <v>62</v>
      </c>
      <c r="B5" s="109" t="s">
        <v>63</v>
      </c>
      <c r="C5" s="112" t="s">
        <v>64</v>
      </c>
      <c r="D5" s="109" t="s">
        <v>156</v>
      </c>
      <c r="E5" s="113" t="s">
        <v>157</v>
      </c>
      <c r="F5" s="109" t="s">
        <v>65</v>
      </c>
      <c r="G5" s="109" t="s">
        <v>158</v>
      </c>
      <c r="H5" s="109" t="s">
        <v>159</v>
      </c>
      <c r="I5" s="109" t="s">
        <v>160</v>
      </c>
      <c r="J5" s="109" t="s">
        <v>161</v>
      </c>
      <c r="K5" s="114" t="s">
        <v>162</v>
      </c>
      <c r="L5" s="115" t="s">
        <v>66</v>
      </c>
      <c r="M5" s="109" t="s">
        <v>463</v>
      </c>
      <c r="N5" s="109" t="s">
        <v>814</v>
      </c>
      <c r="O5" s="216" t="s">
        <v>567</v>
      </c>
      <c r="P5" s="216"/>
      <c r="Q5" s="109" t="s">
        <v>80</v>
      </c>
      <c r="R5" s="109" t="s">
        <v>16</v>
      </c>
    </row>
    <row r="6" spans="1:18" ht="40.5" customHeight="1" x14ac:dyDescent="0.3">
      <c r="A6" s="98">
        <v>43116</v>
      </c>
      <c r="B6" s="99" t="s">
        <v>163</v>
      </c>
      <c r="C6" s="116" t="s">
        <v>164</v>
      </c>
      <c r="D6" s="9">
        <v>10</v>
      </c>
      <c r="E6" s="117">
        <v>100</v>
      </c>
      <c r="F6" s="100">
        <v>8</v>
      </c>
      <c r="G6" s="78">
        <v>18</v>
      </c>
      <c r="H6" s="78">
        <v>0.01</v>
      </c>
      <c r="I6" s="78">
        <f t="shared" ref="I6:I26" si="0">G6*H6*(15/50)</f>
        <v>5.3999999999999999E-2</v>
      </c>
      <c r="J6" s="79">
        <v>26.35</v>
      </c>
      <c r="K6" s="118">
        <f t="shared" ref="K6:K27" si="1">(I6/J6)*(E6/D6)*100*F6</f>
        <v>16.394686907020869</v>
      </c>
      <c r="L6" s="119"/>
      <c r="M6" s="120"/>
      <c r="N6" s="120"/>
      <c r="O6" s="121"/>
      <c r="P6" s="121"/>
      <c r="Q6" s="2" t="s">
        <v>14</v>
      </c>
      <c r="R6" s="2" t="s">
        <v>15</v>
      </c>
    </row>
    <row r="7" spans="1:18" ht="20.25" x14ac:dyDescent="0.3">
      <c r="A7" s="86">
        <v>43116</v>
      </c>
      <c r="B7" s="26" t="s">
        <v>165</v>
      </c>
      <c r="C7" s="93" t="s">
        <v>166</v>
      </c>
      <c r="D7" s="9">
        <v>15.0008</v>
      </c>
      <c r="E7" s="65">
        <v>100</v>
      </c>
      <c r="F7" s="3">
        <v>2</v>
      </c>
      <c r="G7" s="3">
        <v>18</v>
      </c>
      <c r="H7" s="3">
        <v>0.01</v>
      </c>
      <c r="I7" s="3">
        <f t="shared" si="0"/>
        <v>5.3999999999999999E-2</v>
      </c>
      <c r="J7" s="56">
        <v>19.5</v>
      </c>
      <c r="K7" s="122">
        <f t="shared" si="1"/>
        <v>3.6921107797327735</v>
      </c>
      <c r="L7" s="119"/>
      <c r="M7" s="120"/>
      <c r="N7" s="120"/>
      <c r="O7" s="123"/>
      <c r="P7" s="123"/>
      <c r="Q7" s="2" t="s">
        <v>14</v>
      </c>
      <c r="R7" s="2" t="s">
        <v>15</v>
      </c>
    </row>
    <row r="8" spans="1:18" ht="20.25" x14ac:dyDescent="0.3">
      <c r="A8" s="86">
        <v>43116</v>
      </c>
      <c r="B8" s="26" t="s">
        <v>167</v>
      </c>
      <c r="C8" s="93" t="s">
        <v>168</v>
      </c>
      <c r="D8" s="9">
        <v>15.0009</v>
      </c>
      <c r="E8" s="65">
        <v>100</v>
      </c>
      <c r="F8" s="3">
        <v>2</v>
      </c>
      <c r="G8" s="3">
        <v>18</v>
      </c>
      <c r="H8" s="3">
        <v>0.01</v>
      </c>
      <c r="I8" s="3">
        <f t="shared" si="0"/>
        <v>5.3999999999999999E-2</v>
      </c>
      <c r="J8" s="56">
        <v>88.4</v>
      </c>
      <c r="K8" s="122">
        <f t="shared" si="1"/>
        <v>0.81443077216271986</v>
      </c>
      <c r="L8" s="119"/>
      <c r="M8" s="120"/>
      <c r="N8" s="120"/>
      <c r="O8" s="123"/>
      <c r="P8" s="123"/>
      <c r="Q8" s="2" t="s">
        <v>14</v>
      </c>
      <c r="R8" s="2" t="s">
        <v>15</v>
      </c>
    </row>
    <row r="9" spans="1:18" ht="15.75" customHeight="1" x14ac:dyDescent="0.3">
      <c r="A9" s="43">
        <v>43116</v>
      </c>
      <c r="B9" s="87" t="s">
        <v>218</v>
      </c>
      <c r="C9" s="93" t="s">
        <v>169</v>
      </c>
      <c r="D9" s="9">
        <v>12.000400000000001</v>
      </c>
      <c r="E9" s="65">
        <v>100</v>
      </c>
      <c r="F9" s="56">
        <f>+(100/35)*2</f>
        <v>5.7142857142857144</v>
      </c>
      <c r="G9" s="3">
        <v>18</v>
      </c>
      <c r="H9" s="3">
        <v>0.01</v>
      </c>
      <c r="I9" s="3">
        <f t="shared" si="0"/>
        <v>5.3999999999999999E-2</v>
      </c>
      <c r="J9" s="56">
        <v>23.15</v>
      </c>
      <c r="K9" s="122">
        <f t="shared" si="1"/>
        <v>11.107312570193974</v>
      </c>
      <c r="L9" s="119"/>
      <c r="M9" s="120"/>
      <c r="N9" s="120"/>
      <c r="O9" s="123"/>
      <c r="P9" s="123"/>
      <c r="Q9" s="2" t="s">
        <v>14</v>
      </c>
      <c r="R9" s="2" t="s">
        <v>15</v>
      </c>
    </row>
    <row r="10" spans="1:18" ht="20.25" x14ac:dyDescent="0.3">
      <c r="A10" s="43">
        <v>43118</v>
      </c>
      <c r="B10" s="26" t="s">
        <v>171</v>
      </c>
      <c r="C10" s="93" t="s">
        <v>172</v>
      </c>
      <c r="D10" s="9">
        <v>2.0003000000000002</v>
      </c>
      <c r="E10" s="65">
        <v>100</v>
      </c>
      <c r="F10" s="3">
        <v>2</v>
      </c>
      <c r="G10" s="3">
        <v>17.350000000000001</v>
      </c>
      <c r="H10" s="3">
        <v>0.01</v>
      </c>
      <c r="I10" s="3">
        <f t="shared" si="0"/>
        <v>5.2050000000000006E-2</v>
      </c>
      <c r="J10" s="56">
        <v>24.15</v>
      </c>
      <c r="K10" s="122">
        <f t="shared" si="1"/>
        <v>21.549562596666405</v>
      </c>
      <c r="L10" s="119"/>
      <c r="M10" s="120"/>
      <c r="N10" s="120"/>
      <c r="O10" s="3" t="s">
        <v>170</v>
      </c>
      <c r="P10" s="56">
        <f t="shared" ref="P10:P17" si="2">+K19-K10</f>
        <v>6.505528331069101</v>
      </c>
      <c r="Q10" s="2" t="s">
        <v>14</v>
      </c>
      <c r="R10" s="2" t="s">
        <v>15</v>
      </c>
    </row>
    <row r="11" spans="1:18" ht="20.25" x14ac:dyDescent="0.3">
      <c r="A11" s="43">
        <v>43118</v>
      </c>
      <c r="B11" s="26" t="s">
        <v>173</v>
      </c>
      <c r="C11" s="93" t="s">
        <v>174</v>
      </c>
      <c r="D11" s="9">
        <v>2.0002</v>
      </c>
      <c r="E11" s="65">
        <v>100</v>
      </c>
      <c r="F11" s="3">
        <v>2</v>
      </c>
      <c r="G11" s="3">
        <v>17.350000000000001</v>
      </c>
      <c r="H11" s="3">
        <v>0.01</v>
      </c>
      <c r="I11" s="3">
        <f t="shared" si="0"/>
        <v>5.2050000000000006E-2</v>
      </c>
      <c r="J11" s="56">
        <v>27.15</v>
      </c>
      <c r="K11" s="122">
        <f t="shared" si="1"/>
        <v>19.169353782853761</v>
      </c>
      <c r="L11" s="119"/>
      <c r="M11" s="120"/>
      <c r="N11" s="120"/>
      <c r="O11" s="3" t="s">
        <v>170</v>
      </c>
      <c r="P11" s="56">
        <f t="shared" si="2"/>
        <v>5.4307352595434715</v>
      </c>
      <c r="Q11" s="2" t="s">
        <v>14</v>
      </c>
      <c r="R11" s="2" t="s">
        <v>15</v>
      </c>
    </row>
    <row r="12" spans="1:18" ht="20.25" x14ac:dyDescent="0.3">
      <c r="A12" s="43">
        <v>43118</v>
      </c>
      <c r="B12" s="26" t="s">
        <v>175</v>
      </c>
      <c r="C12" s="93" t="s">
        <v>176</v>
      </c>
      <c r="D12" s="9">
        <v>2.0001000000000002</v>
      </c>
      <c r="E12" s="65">
        <v>100</v>
      </c>
      <c r="F12" s="3">
        <v>2</v>
      </c>
      <c r="G12" s="3">
        <v>17.350000000000001</v>
      </c>
      <c r="H12" s="3">
        <v>0.01</v>
      </c>
      <c r="I12" s="3">
        <f t="shared" si="0"/>
        <v>5.2050000000000006E-2</v>
      </c>
      <c r="J12" s="56">
        <v>23.5</v>
      </c>
      <c r="K12" s="122">
        <f t="shared" si="1"/>
        <v>22.147828778773825</v>
      </c>
      <c r="L12" s="119"/>
      <c r="M12" s="120"/>
      <c r="N12" s="120"/>
      <c r="O12" s="3" t="s">
        <v>170</v>
      </c>
      <c r="P12" s="56">
        <f t="shared" si="2"/>
        <v>6.4496424465660063</v>
      </c>
      <c r="Q12" s="2" t="s">
        <v>14</v>
      </c>
      <c r="R12" s="2" t="s">
        <v>15</v>
      </c>
    </row>
    <row r="13" spans="1:18" ht="20.25" x14ac:dyDescent="0.3">
      <c r="A13" s="43">
        <v>43118</v>
      </c>
      <c r="B13" s="26" t="s">
        <v>177</v>
      </c>
      <c r="C13" s="93" t="s">
        <v>178</v>
      </c>
      <c r="D13" s="9">
        <v>2.0002</v>
      </c>
      <c r="E13" s="65">
        <v>100</v>
      </c>
      <c r="F13" s="3">
        <v>2</v>
      </c>
      <c r="G13" s="3">
        <v>17.350000000000001</v>
      </c>
      <c r="H13" s="3">
        <v>0.01</v>
      </c>
      <c r="I13" s="3">
        <f t="shared" si="0"/>
        <v>5.2050000000000006E-2</v>
      </c>
      <c r="J13" s="56">
        <v>24.15</v>
      </c>
      <c r="K13" s="122">
        <f t="shared" si="1"/>
        <v>21.550639967059197</v>
      </c>
      <c r="L13" s="119"/>
      <c r="M13" s="120"/>
      <c r="N13" s="120"/>
      <c r="O13" s="3" t="s">
        <v>170</v>
      </c>
      <c r="P13" s="56">
        <f t="shared" si="2"/>
        <v>6.8017240849212293</v>
      </c>
      <c r="Q13" s="2" t="s">
        <v>14</v>
      </c>
      <c r="R13" s="2" t="s">
        <v>15</v>
      </c>
    </row>
    <row r="14" spans="1:18" ht="20.25" x14ac:dyDescent="0.3">
      <c r="A14" s="43">
        <v>43118</v>
      </c>
      <c r="B14" s="26" t="s">
        <v>179</v>
      </c>
      <c r="C14" s="93" t="s">
        <v>180</v>
      </c>
      <c r="D14" s="9">
        <v>2.0003000000000002</v>
      </c>
      <c r="E14" s="65">
        <v>100</v>
      </c>
      <c r="F14" s="3">
        <v>2</v>
      </c>
      <c r="G14" s="3">
        <v>17.350000000000001</v>
      </c>
      <c r="H14" s="3">
        <v>0.01</v>
      </c>
      <c r="I14" s="3">
        <f t="shared" si="0"/>
        <v>5.2050000000000006E-2</v>
      </c>
      <c r="J14" s="56">
        <v>23.7</v>
      </c>
      <c r="K14" s="122">
        <f t="shared" si="1"/>
        <v>21.958731506729691</v>
      </c>
      <c r="L14" s="119"/>
      <c r="M14" s="120"/>
      <c r="N14" s="120"/>
      <c r="O14" s="3" t="s">
        <v>170</v>
      </c>
      <c r="P14" s="56">
        <f t="shared" si="2"/>
        <v>6.5489879647136426</v>
      </c>
      <c r="Q14" s="2" t="s">
        <v>14</v>
      </c>
      <c r="R14" s="2" t="s">
        <v>15</v>
      </c>
    </row>
    <row r="15" spans="1:18" ht="20.25" x14ac:dyDescent="0.3">
      <c r="A15" s="43">
        <v>43118</v>
      </c>
      <c r="B15" s="26" t="s">
        <v>181</v>
      </c>
      <c r="C15" s="93" t="s">
        <v>182</v>
      </c>
      <c r="D15" s="9">
        <v>2.0001000000000002</v>
      </c>
      <c r="E15" s="65">
        <v>100</v>
      </c>
      <c r="F15" s="3">
        <v>2</v>
      </c>
      <c r="G15" s="3">
        <v>17.350000000000001</v>
      </c>
      <c r="H15" s="3">
        <v>0.01</v>
      </c>
      <c r="I15" s="3">
        <f t="shared" si="0"/>
        <v>5.2050000000000006E-2</v>
      </c>
      <c r="J15" s="56">
        <v>24.15</v>
      </c>
      <c r="K15" s="122">
        <f t="shared" si="1"/>
        <v>21.551717445183645</v>
      </c>
      <c r="L15" s="119"/>
      <c r="M15" s="120"/>
      <c r="N15" s="120"/>
      <c r="O15" s="3" t="s">
        <v>170</v>
      </c>
      <c r="P15" s="56">
        <f t="shared" si="2"/>
        <v>7.3649492214830232</v>
      </c>
      <c r="Q15" s="2" t="s">
        <v>14</v>
      </c>
      <c r="R15" s="2" t="s">
        <v>15</v>
      </c>
    </row>
    <row r="16" spans="1:18" ht="20.25" x14ac:dyDescent="0.3">
      <c r="A16" s="43">
        <v>43118</v>
      </c>
      <c r="B16" s="26" t="s">
        <v>183</v>
      </c>
      <c r="C16" s="93" t="s">
        <v>184</v>
      </c>
      <c r="D16" s="9">
        <v>2.0001000000000002</v>
      </c>
      <c r="E16" s="65">
        <v>100</v>
      </c>
      <c r="F16" s="3">
        <v>2</v>
      </c>
      <c r="G16" s="3">
        <v>17.350000000000001</v>
      </c>
      <c r="H16" s="3">
        <v>0.01</v>
      </c>
      <c r="I16" s="3">
        <f t="shared" si="0"/>
        <v>5.2050000000000006E-2</v>
      </c>
      <c r="J16" s="56">
        <v>23.45</v>
      </c>
      <c r="K16" s="122">
        <f t="shared" si="1"/>
        <v>22.1950522942936</v>
      </c>
      <c r="L16" s="119"/>
      <c r="M16" s="120"/>
      <c r="N16" s="120"/>
      <c r="O16" s="3" t="s">
        <v>170</v>
      </c>
      <c r="P16" s="56">
        <f t="shared" si="2"/>
        <v>6.3909850877855661</v>
      </c>
      <c r="Q16" s="2" t="s">
        <v>14</v>
      </c>
      <c r="R16" s="2" t="s">
        <v>15</v>
      </c>
    </row>
    <row r="17" spans="1:18" ht="20.25" x14ac:dyDescent="0.3">
      <c r="A17" s="43">
        <v>43118</v>
      </c>
      <c r="B17" s="26" t="s">
        <v>185</v>
      </c>
      <c r="C17" s="93" t="s">
        <v>186</v>
      </c>
      <c r="D17" s="9">
        <v>2.0002</v>
      </c>
      <c r="E17" s="65">
        <v>100</v>
      </c>
      <c r="F17" s="3">
        <v>2</v>
      </c>
      <c r="G17" s="3">
        <v>17.350000000000001</v>
      </c>
      <c r="H17" s="3">
        <v>0.01</v>
      </c>
      <c r="I17" s="3">
        <f t="shared" si="0"/>
        <v>5.2050000000000006E-2</v>
      </c>
      <c r="J17" s="56">
        <v>23.5</v>
      </c>
      <c r="K17" s="122">
        <f t="shared" si="1"/>
        <v>22.146721498062959</v>
      </c>
      <c r="L17" s="119"/>
      <c r="M17" s="120"/>
      <c r="N17" s="120"/>
      <c r="O17" s="3" t="s">
        <v>170</v>
      </c>
      <c r="P17" s="56">
        <f t="shared" si="2"/>
        <v>6.7670537910747974</v>
      </c>
      <c r="Q17" s="2" t="s">
        <v>14</v>
      </c>
      <c r="R17" s="2" t="s">
        <v>15</v>
      </c>
    </row>
    <row r="18" spans="1:18" ht="20.25" x14ac:dyDescent="0.3">
      <c r="A18" s="43">
        <v>43118</v>
      </c>
      <c r="B18" s="26" t="s">
        <v>187</v>
      </c>
      <c r="C18" s="93" t="s">
        <v>188</v>
      </c>
      <c r="D18" s="9">
        <v>5.0000999999999998</v>
      </c>
      <c r="E18" s="65">
        <v>100</v>
      </c>
      <c r="F18" s="3">
        <v>1</v>
      </c>
      <c r="G18" s="3">
        <v>17.350000000000001</v>
      </c>
      <c r="H18" s="3">
        <v>0.01</v>
      </c>
      <c r="I18" s="3">
        <f t="shared" si="0"/>
        <v>5.2050000000000006E-2</v>
      </c>
      <c r="J18" s="56">
        <v>29.6</v>
      </c>
      <c r="K18" s="122">
        <f t="shared" si="1"/>
        <v>3.5168215554607833</v>
      </c>
      <c r="L18" s="119"/>
      <c r="M18" s="120"/>
      <c r="N18" s="120"/>
      <c r="O18" s="3" t="s">
        <v>170</v>
      </c>
      <c r="P18" s="56">
        <f>+K28-K18</f>
        <v>93.763844477750396</v>
      </c>
      <c r="Q18" s="2" t="s">
        <v>14</v>
      </c>
      <c r="R18" s="2" t="s">
        <v>15</v>
      </c>
    </row>
    <row r="19" spans="1:18" ht="20.25" x14ac:dyDescent="0.3">
      <c r="A19" s="43">
        <v>43118</v>
      </c>
      <c r="B19" s="26" t="s">
        <v>189</v>
      </c>
      <c r="C19" s="93" t="s">
        <v>172</v>
      </c>
      <c r="D19" s="9">
        <v>2.0003000000000002</v>
      </c>
      <c r="E19" s="65">
        <v>100</v>
      </c>
      <c r="F19" s="3">
        <v>2</v>
      </c>
      <c r="G19" s="3">
        <v>17.350000000000001</v>
      </c>
      <c r="H19" s="3">
        <v>0.01</v>
      </c>
      <c r="I19" s="3">
        <f t="shared" si="0"/>
        <v>5.2050000000000006E-2</v>
      </c>
      <c r="J19" s="56">
        <v>18.55</v>
      </c>
      <c r="K19" s="122">
        <f t="shared" si="1"/>
        <v>28.055090927735506</v>
      </c>
      <c r="L19" s="119"/>
      <c r="M19" s="120"/>
      <c r="N19" s="120"/>
      <c r="O19" s="123"/>
      <c r="P19" s="123"/>
      <c r="Q19" s="2" t="s">
        <v>14</v>
      </c>
      <c r="R19" s="2" t="s">
        <v>15</v>
      </c>
    </row>
    <row r="20" spans="1:18" ht="20.25" x14ac:dyDescent="0.3">
      <c r="A20" s="43">
        <v>43118</v>
      </c>
      <c r="B20" s="26" t="s">
        <v>190</v>
      </c>
      <c r="C20" s="93" t="s">
        <v>174</v>
      </c>
      <c r="D20" s="9">
        <v>2.0007999999999999</v>
      </c>
      <c r="E20" s="65">
        <v>100</v>
      </c>
      <c r="F20" s="3">
        <v>2</v>
      </c>
      <c r="G20" s="3">
        <v>17.350000000000001</v>
      </c>
      <c r="H20" s="3">
        <v>0.01</v>
      </c>
      <c r="I20" s="3">
        <f t="shared" si="0"/>
        <v>5.2050000000000006E-2</v>
      </c>
      <c r="J20" s="56">
        <v>21.15</v>
      </c>
      <c r="K20" s="122">
        <f t="shared" si="1"/>
        <v>24.600089042397233</v>
      </c>
      <c r="L20" s="119"/>
      <c r="M20" s="120"/>
      <c r="N20" s="120"/>
      <c r="O20" s="123"/>
      <c r="P20" s="123"/>
      <c r="Q20" s="2" t="s">
        <v>14</v>
      </c>
      <c r="R20" s="2" t="s">
        <v>15</v>
      </c>
    </row>
    <row r="21" spans="1:18" ht="20.25" x14ac:dyDescent="0.3">
      <c r="A21" s="43">
        <v>43118</v>
      </c>
      <c r="B21" s="26" t="s">
        <v>191</v>
      </c>
      <c r="C21" s="93" t="s">
        <v>176</v>
      </c>
      <c r="D21" s="9">
        <v>2.0001000000000002</v>
      </c>
      <c r="E21" s="65">
        <v>100</v>
      </c>
      <c r="F21" s="3">
        <v>2</v>
      </c>
      <c r="G21" s="3">
        <v>17.350000000000001</v>
      </c>
      <c r="H21" s="3">
        <v>0.01</v>
      </c>
      <c r="I21" s="3">
        <f t="shared" si="0"/>
        <v>5.2050000000000006E-2</v>
      </c>
      <c r="J21" s="56">
        <v>18.2</v>
      </c>
      <c r="K21" s="122">
        <f t="shared" si="1"/>
        <v>28.597471225339831</v>
      </c>
      <c r="L21" s="119"/>
      <c r="M21" s="120"/>
      <c r="N21" s="120"/>
      <c r="O21" s="123"/>
      <c r="P21" s="123"/>
      <c r="Q21" s="2" t="s">
        <v>14</v>
      </c>
      <c r="R21" s="2" t="s">
        <v>15</v>
      </c>
    </row>
    <row r="22" spans="1:18" ht="20.25" x14ac:dyDescent="0.3">
      <c r="A22" s="43">
        <v>43118</v>
      </c>
      <c r="B22" s="26" t="s">
        <v>192</v>
      </c>
      <c r="C22" s="93" t="s">
        <v>178</v>
      </c>
      <c r="D22" s="9">
        <v>2.0009000000000001</v>
      </c>
      <c r="E22" s="65">
        <v>100</v>
      </c>
      <c r="F22" s="3">
        <v>2</v>
      </c>
      <c r="G22" s="3">
        <v>17.350000000000001</v>
      </c>
      <c r="H22" s="3">
        <v>0.01</v>
      </c>
      <c r="I22" s="3">
        <f t="shared" si="0"/>
        <v>5.2050000000000006E-2</v>
      </c>
      <c r="J22" s="56">
        <v>18.350000000000001</v>
      </c>
      <c r="K22" s="122">
        <f t="shared" si="1"/>
        <v>28.352364051980427</v>
      </c>
      <c r="L22" s="119"/>
      <c r="M22" s="120"/>
      <c r="N22" s="120"/>
      <c r="O22" s="123"/>
      <c r="P22" s="123"/>
      <c r="Q22" s="2" t="s">
        <v>14</v>
      </c>
      <c r="R22" s="2" t="s">
        <v>15</v>
      </c>
    </row>
    <row r="23" spans="1:18" ht="20.25" x14ac:dyDescent="0.3">
      <c r="A23" s="43">
        <v>43118</v>
      </c>
      <c r="B23" s="26" t="s">
        <v>193</v>
      </c>
      <c r="C23" s="93" t="s">
        <v>180</v>
      </c>
      <c r="D23" s="9">
        <v>2.0009000000000001</v>
      </c>
      <c r="E23" s="65">
        <v>100</v>
      </c>
      <c r="F23" s="3">
        <v>2</v>
      </c>
      <c r="G23" s="3">
        <v>17.350000000000001</v>
      </c>
      <c r="H23" s="3">
        <v>0.01</v>
      </c>
      <c r="I23" s="3">
        <f t="shared" si="0"/>
        <v>5.2050000000000006E-2</v>
      </c>
      <c r="J23" s="56">
        <v>18.25</v>
      </c>
      <c r="K23" s="122">
        <f t="shared" si="1"/>
        <v>28.507719471443334</v>
      </c>
      <c r="L23" s="119"/>
      <c r="M23" s="120"/>
      <c r="N23" s="120"/>
      <c r="O23" s="123"/>
      <c r="P23" s="123"/>
      <c r="Q23" s="2" t="s">
        <v>14</v>
      </c>
      <c r="R23" s="2" t="s">
        <v>15</v>
      </c>
    </row>
    <row r="24" spans="1:18" ht="20.25" x14ac:dyDescent="0.3">
      <c r="A24" s="43">
        <v>43118</v>
      </c>
      <c r="B24" s="26" t="s">
        <v>194</v>
      </c>
      <c r="C24" s="93" t="s">
        <v>182</v>
      </c>
      <c r="D24" s="9">
        <v>2</v>
      </c>
      <c r="E24" s="65">
        <v>100</v>
      </c>
      <c r="F24" s="3">
        <v>2</v>
      </c>
      <c r="G24" s="3">
        <v>17.350000000000001</v>
      </c>
      <c r="H24" s="3">
        <v>0.01</v>
      </c>
      <c r="I24" s="3">
        <f t="shared" si="0"/>
        <v>5.2050000000000006E-2</v>
      </c>
      <c r="J24" s="56">
        <v>18</v>
      </c>
      <c r="K24" s="122">
        <f t="shared" si="1"/>
        <v>28.916666666666668</v>
      </c>
      <c r="L24" s="119"/>
      <c r="M24" s="120"/>
      <c r="N24" s="120"/>
      <c r="O24" s="123"/>
      <c r="P24" s="123"/>
      <c r="Q24" s="2" t="s">
        <v>14</v>
      </c>
      <c r="R24" s="2" t="s">
        <v>15</v>
      </c>
    </row>
    <row r="25" spans="1:18" ht="20.25" x14ac:dyDescent="0.3">
      <c r="A25" s="43">
        <v>43118</v>
      </c>
      <c r="B25" s="26" t="s">
        <v>195</v>
      </c>
      <c r="C25" s="93" t="s">
        <v>184</v>
      </c>
      <c r="D25" s="9">
        <v>2.0009000000000001</v>
      </c>
      <c r="E25" s="65">
        <v>100</v>
      </c>
      <c r="F25" s="3">
        <v>2</v>
      </c>
      <c r="G25" s="3">
        <v>17.350000000000001</v>
      </c>
      <c r="H25" s="3">
        <v>0.01</v>
      </c>
      <c r="I25" s="3">
        <f t="shared" si="0"/>
        <v>5.2050000000000006E-2</v>
      </c>
      <c r="J25" s="56">
        <v>18.2</v>
      </c>
      <c r="K25" s="122">
        <f t="shared" si="1"/>
        <v>28.586037382079166</v>
      </c>
      <c r="L25" s="119"/>
      <c r="M25" s="120"/>
      <c r="N25" s="120"/>
      <c r="O25" s="123"/>
      <c r="P25" s="123"/>
      <c r="Q25" s="2" t="s">
        <v>14</v>
      </c>
      <c r="R25" s="2" t="s">
        <v>15</v>
      </c>
    </row>
    <row r="26" spans="1:18" ht="20.25" x14ac:dyDescent="0.3">
      <c r="A26" s="43">
        <v>43118</v>
      </c>
      <c r="B26" s="26" t="s">
        <v>196</v>
      </c>
      <c r="C26" s="93" t="s">
        <v>186</v>
      </c>
      <c r="D26" s="9">
        <v>2.0002</v>
      </c>
      <c r="E26" s="65">
        <v>100</v>
      </c>
      <c r="F26" s="3">
        <v>2</v>
      </c>
      <c r="G26" s="3">
        <v>17.350000000000001</v>
      </c>
      <c r="H26" s="3">
        <v>0.01</v>
      </c>
      <c r="I26" s="3">
        <f t="shared" si="0"/>
        <v>5.2050000000000006E-2</v>
      </c>
      <c r="J26" s="56">
        <v>18</v>
      </c>
      <c r="K26" s="122">
        <f t="shared" si="1"/>
        <v>28.913775289137757</v>
      </c>
      <c r="L26" s="119"/>
      <c r="M26" s="120"/>
      <c r="N26" s="120"/>
      <c r="O26" s="123"/>
      <c r="P26" s="123"/>
      <c r="Q26" s="2" t="s">
        <v>14</v>
      </c>
      <c r="R26" s="2" t="s">
        <v>15</v>
      </c>
    </row>
    <row r="27" spans="1:18" ht="20.25" x14ac:dyDescent="0.3">
      <c r="A27" s="43">
        <v>43118</v>
      </c>
      <c r="B27" s="26" t="s">
        <v>197</v>
      </c>
      <c r="C27" s="93" t="s">
        <v>188</v>
      </c>
      <c r="D27" s="9">
        <v>3.0004</v>
      </c>
      <c r="E27" s="65">
        <v>100</v>
      </c>
      <c r="F27" s="3">
        <v>16</v>
      </c>
      <c r="G27" s="3">
        <v>17.350000000000001</v>
      </c>
      <c r="H27" s="3">
        <v>0.01</v>
      </c>
      <c r="I27" s="3">
        <f t="shared" ref="I27:I90" si="3">G27*H27*15/50</f>
        <v>5.2049999999999999E-2</v>
      </c>
      <c r="J27" s="56">
        <v>24.85</v>
      </c>
      <c r="K27" s="122">
        <f t="shared" si="1"/>
        <v>111.69536885356935</v>
      </c>
      <c r="L27" s="119"/>
      <c r="M27" s="120"/>
      <c r="N27" s="120"/>
      <c r="O27" s="123"/>
      <c r="P27" s="123"/>
      <c r="Q27" s="2" t="s">
        <v>14</v>
      </c>
      <c r="R27" s="2" t="s">
        <v>15</v>
      </c>
    </row>
    <row r="28" spans="1:18" ht="20.25" x14ac:dyDescent="0.3">
      <c r="A28" s="43">
        <v>43119</v>
      </c>
      <c r="B28" s="26" t="s">
        <v>197</v>
      </c>
      <c r="C28" s="93" t="s">
        <v>188</v>
      </c>
      <c r="D28" s="9">
        <v>1.0007999999999999</v>
      </c>
      <c r="E28" s="65">
        <v>100</v>
      </c>
      <c r="F28" s="3">
        <v>4</v>
      </c>
      <c r="G28" s="3">
        <v>17.2</v>
      </c>
      <c r="H28" s="3">
        <v>0.01</v>
      </c>
      <c r="I28" s="3">
        <f t="shared" si="3"/>
        <v>5.1599999999999993E-2</v>
      </c>
      <c r="J28" s="56">
        <v>21.2</v>
      </c>
      <c r="K28" s="122">
        <f t="shared" ref="K28:K91" si="4">+(I28/J28)*(E28/D28)*F28*100</f>
        <v>97.280666033211176</v>
      </c>
      <c r="L28" s="119"/>
      <c r="M28" s="120"/>
      <c r="N28" s="120"/>
      <c r="O28" s="123"/>
      <c r="P28" s="123"/>
      <c r="Q28" s="2" t="s">
        <v>14</v>
      </c>
      <c r="R28" s="2" t="s">
        <v>15</v>
      </c>
    </row>
    <row r="29" spans="1:18" ht="20.25" x14ac:dyDescent="0.3">
      <c r="A29" s="48">
        <v>43126</v>
      </c>
      <c r="B29" s="1" t="s">
        <v>198</v>
      </c>
      <c r="C29" s="93" t="s">
        <v>199</v>
      </c>
      <c r="D29" s="9">
        <v>2.0007000000000001</v>
      </c>
      <c r="E29" s="65">
        <v>100</v>
      </c>
      <c r="F29" s="3">
        <v>4</v>
      </c>
      <c r="G29" s="3">
        <v>17.2</v>
      </c>
      <c r="H29" s="3">
        <v>0.01</v>
      </c>
      <c r="I29" s="3">
        <f t="shared" si="3"/>
        <v>5.1599999999999993E-2</v>
      </c>
      <c r="J29" s="56">
        <v>22</v>
      </c>
      <c r="K29" s="122">
        <f t="shared" si="4"/>
        <v>46.892678471625828</v>
      </c>
      <c r="L29" s="119"/>
      <c r="M29" s="120"/>
      <c r="N29" s="120"/>
      <c r="O29" s="123"/>
      <c r="P29" s="123"/>
      <c r="Q29" s="2" t="s">
        <v>14</v>
      </c>
      <c r="R29" s="2" t="s">
        <v>15</v>
      </c>
    </row>
    <row r="30" spans="1:18" ht="20.25" x14ac:dyDescent="0.3">
      <c r="A30" s="48">
        <v>43136</v>
      </c>
      <c r="B30" s="1" t="s">
        <v>200</v>
      </c>
      <c r="C30" s="93" t="s">
        <v>201</v>
      </c>
      <c r="D30" s="9">
        <v>5.0000999999999998</v>
      </c>
      <c r="E30" s="65">
        <v>100</v>
      </c>
      <c r="F30" s="3">
        <v>8</v>
      </c>
      <c r="G30" s="3">
        <v>17.850000000000001</v>
      </c>
      <c r="H30" s="3">
        <v>0.01</v>
      </c>
      <c r="I30" s="3">
        <f t="shared" si="3"/>
        <v>5.3550000000000007E-2</v>
      </c>
      <c r="J30" s="56">
        <v>20.5</v>
      </c>
      <c r="K30" s="122">
        <f t="shared" si="4"/>
        <v>41.794286065498213</v>
      </c>
      <c r="L30" s="119"/>
      <c r="M30" s="120"/>
      <c r="N30" s="120"/>
      <c r="O30" s="3" t="s">
        <v>202</v>
      </c>
      <c r="P30" s="123"/>
      <c r="Q30" s="2" t="s">
        <v>14</v>
      </c>
      <c r="R30" s="2" t="s">
        <v>15</v>
      </c>
    </row>
    <row r="31" spans="1:18" ht="20.25" x14ac:dyDescent="0.3">
      <c r="A31" s="43">
        <v>43151</v>
      </c>
      <c r="B31" s="1" t="s">
        <v>203</v>
      </c>
      <c r="C31" s="93" t="s">
        <v>204</v>
      </c>
      <c r="D31" s="9">
        <v>10.4275</v>
      </c>
      <c r="E31" s="65">
        <v>100</v>
      </c>
      <c r="F31" s="3">
        <v>16</v>
      </c>
      <c r="G31" s="3">
        <v>17.850000000000001</v>
      </c>
      <c r="H31" s="3">
        <v>0.01</v>
      </c>
      <c r="I31" s="3">
        <f t="shared" si="3"/>
        <v>5.3550000000000007E-2</v>
      </c>
      <c r="J31" s="56">
        <v>20.8</v>
      </c>
      <c r="K31" s="122">
        <f t="shared" si="4"/>
        <v>39.503531711635283</v>
      </c>
      <c r="L31" s="119"/>
      <c r="M31" s="120"/>
      <c r="N31" s="120"/>
      <c r="O31" s="123"/>
      <c r="P31" s="123"/>
      <c r="Q31" s="2" t="s">
        <v>14</v>
      </c>
      <c r="R31" s="2" t="s">
        <v>15</v>
      </c>
    </row>
    <row r="32" spans="1:18" ht="20.25" x14ac:dyDescent="0.3">
      <c r="A32" s="43">
        <v>43151</v>
      </c>
      <c r="B32" s="1" t="s">
        <v>205</v>
      </c>
      <c r="C32" s="93" t="s">
        <v>204</v>
      </c>
      <c r="D32" s="9">
        <v>6.0197000000000003</v>
      </c>
      <c r="E32" s="65">
        <v>100</v>
      </c>
      <c r="F32" s="56">
        <f>(100/15)*2</f>
        <v>13.333333333333334</v>
      </c>
      <c r="G32" s="3">
        <v>18.55</v>
      </c>
      <c r="H32" s="3">
        <v>0.01</v>
      </c>
      <c r="I32" s="3">
        <f t="shared" si="3"/>
        <v>5.5649999999999998E-2</v>
      </c>
      <c r="J32" s="56">
        <v>21.5</v>
      </c>
      <c r="K32" s="122">
        <f t="shared" si="4"/>
        <v>57.331142593446081</v>
      </c>
      <c r="L32" s="119"/>
      <c r="M32" s="120"/>
      <c r="N32" s="120"/>
      <c r="O32" s="123"/>
      <c r="P32" s="123"/>
      <c r="Q32" s="2" t="s">
        <v>14</v>
      </c>
      <c r="R32" s="2" t="s">
        <v>15</v>
      </c>
    </row>
    <row r="33" spans="1:18" ht="20.25" x14ac:dyDescent="0.3">
      <c r="A33" s="43">
        <v>43151</v>
      </c>
      <c r="B33" s="26" t="s">
        <v>206</v>
      </c>
      <c r="C33" s="93" t="s">
        <v>207</v>
      </c>
      <c r="D33" s="9">
        <v>8.3625000000000007</v>
      </c>
      <c r="E33" s="65">
        <v>100</v>
      </c>
      <c r="F33" s="56">
        <f>(100/15)*2</f>
        <v>13.333333333333334</v>
      </c>
      <c r="G33" s="3">
        <v>17.850000000000001</v>
      </c>
      <c r="H33" s="3">
        <v>0.01</v>
      </c>
      <c r="I33" s="3">
        <f t="shared" si="3"/>
        <v>5.3550000000000007E-2</v>
      </c>
      <c r="J33" s="56">
        <v>19.75</v>
      </c>
      <c r="K33" s="122">
        <f t="shared" si="4"/>
        <v>43.23097008571267</v>
      </c>
      <c r="L33" s="119"/>
      <c r="M33" s="120"/>
      <c r="N33" s="120"/>
      <c r="O33" s="123"/>
      <c r="P33" s="123"/>
      <c r="Q33" s="2" t="s">
        <v>14</v>
      </c>
      <c r="R33" s="2" t="s">
        <v>15</v>
      </c>
    </row>
    <row r="34" spans="1:18" ht="20.25" x14ac:dyDescent="0.3">
      <c r="A34" s="43">
        <v>43151</v>
      </c>
      <c r="B34" s="26" t="s">
        <v>208</v>
      </c>
      <c r="C34" s="93" t="s">
        <v>207</v>
      </c>
      <c r="D34" s="9">
        <v>6.3139000000000003</v>
      </c>
      <c r="E34" s="65">
        <v>100</v>
      </c>
      <c r="F34" s="56">
        <f>(100/12)*2</f>
        <v>16.666666666666668</v>
      </c>
      <c r="G34" s="3">
        <v>17.850000000000001</v>
      </c>
      <c r="H34" s="3">
        <v>0.01</v>
      </c>
      <c r="I34" s="3">
        <f t="shared" si="3"/>
        <v>5.3550000000000007E-2</v>
      </c>
      <c r="J34" s="56">
        <v>22.3</v>
      </c>
      <c r="K34" s="122">
        <f t="shared" si="4"/>
        <v>63.387797596831874</v>
      </c>
      <c r="L34" s="119"/>
      <c r="M34" s="120"/>
      <c r="N34" s="120"/>
      <c r="O34" s="123"/>
      <c r="P34" s="123"/>
      <c r="Q34" s="2" t="s">
        <v>14</v>
      </c>
      <c r="R34" s="2" t="s">
        <v>15</v>
      </c>
    </row>
    <row r="35" spans="1:18" ht="20.25" x14ac:dyDescent="0.3">
      <c r="A35" s="43">
        <v>43151</v>
      </c>
      <c r="B35" s="26" t="s">
        <v>209</v>
      </c>
      <c r="C35" s="93" t="s">
        <v>210</v>
      </c>
      <c r="D35" s="9">
        <v>6.7275</v>
      </c>
      <c r="E35" s="65">
        <v>100</v>
      </c>
      <c r="F35" s="56">
        <f>(100/15)*2</f>
        <v>13.333333333333334</v>
      </c>
      <c r="G35" s="3">
        <v>18.55</v>
      </c>
      <c r="H35" s="3">
        <v>0.01</v>
      </c>
      <c r="I35" s="3">
        <f t="shared" si="3"/>
        <v>5.5649999999999998E-2</v>
      </c>
      <c r="J35" s="56">
        <v>31.55</v>
      </c>
      <c r="K35" s="122">
        <f t="shared" si="4"/>
        <v>34.958342682452106</v>
      </c>
      <c r="L35" s="119"/>
      <c r="M35" s="120"/>
      <c r="N35" s="120"/>
      <c r="O35" s="123"/>
      <c r="P35" s="123"/>
      <c r="Q35" s="2" t="s">
        <v>14</v>
      </c>
      <c r="R35" s="2" t="s">
        <v>15</v>
      </c>
    </row>
    <row r="36" spans="1:18" ht="20.25" x14ac:dyDescent="0.3">
      <c r="A36" s="43">
        <v>43151</v>
      </c>
      <c r="B36" s="26" t="s">
        <v>211</v>
      </c>
      <c r="C36" s="93" t="s">
        <v>210</v>
      </c>
      <c r="D36" s="9">
        <v>5.6547999999999998</v>
      </c>
      <c r="E36" s="65">
        <v>100</v>
      </c>
      <c r="F36" s="3">
        <v>16</v>
      </c>
      <c r="G36" s="3">
        <v>18.55</v>
      </c>
      <c r="H36" s="3">
        <v>0.01</v>
      </c>
      <c r="I36" s="3">
        <f t="shared" si="3"/>
        <v>5.5649999999999998E-2</v>
      </c>
      <c r="J36" s="56">
        <v>20.5</v>
      </c>
      <c r="K36" s="122">
        <f t="shared" si="4"/>
        <v>76.809341340919943</v>
      </c>
      <c r="L36" s="119"/>
      <c r="M36" s="120"/>
      <c r="N36" s="120"/>
      <c r="O36" s="123"/>
      <c r="P36" s="123"/>
      <c r="Q36" s="2" t="s">
        <v>14</v>
      </c>
      <c r="R36" s="2" t="s">
        <v>15</v>
      </c>
    </row>
    <row r="37" spans="1:18" ht="20.25" x14ac:dyDescent="0.3">
      <c r="A37" s="43">
        <v>43151</v>
      </c>
      <c r="B37" s="1" t="s">
        <v>93</v>
      </c>
      <c r="C37" s="93" t="s">
        <v>100</v>
      </c>
      <c r="D37" s="9">
        <v>5.0004</v>
      </c>
      <c r="E37" s="65">
        <v>100</v>
      </c>
      <c r="F37" s="3">
        <v>4</v>
      </c>
      <c r="G37" s="3">
        <v>18.55</v>
      </c>
      <c r="H37" s="3">
        <v>0.01</v>
      </c>
      <c r="I37" s="3">
        <f t="shared" si="3"/>
        <v>5.5649999999999998E-2</v>
      </c>
      <c r="J37" s="56">
        <v>30.5</v>
      </c>
      <c r="K37" s="122">
        <f t="shared" si="4"/>
        <v>14.595553667182035</v>
      </c>
      <c r="L37" s="119"/>
      <c r="M37" s="120"/>
      <c r="N37" s="120"/>
      <c r="O37" s="123"/>
      <c r="P37" s="123"/>
      <c r="Q37" s="2" t="s">
        <v>14</v>
      </c>
      <c r="R37" s="2" t="s">
        <v>15</v>
      </c>
    </row>
    <row r="38" spans="1:18" ht="20.25" x14ac:dyDescent="0.3">
      <c r="A38" s="43">
        <v>43153</v>
      </c>
      <c r="B38" s="26" t="s">
        <v>212</v>
      </c>
      <c r="C38" s="93" t="s">
        <v>213</v>
      </c>
      <c r="D38" s="9">
        <v>5.0000999999999998</v>
      </c>
      <c r="E38" s="65">
        <v>100</v>
      </c>
      <c r="F38" s="3">
        <v>4</v>
      </c>
      <c r="G38" s="3">
        <v>18.55</v>
      </c>
      <c r="H38" s="3">
        <v>0.01</v>
      </c>
      <c r="I38" s="3">
        <f t="shared" si="3"/>
        <v>5.5649999999999998E-2</v>
      </c>
      <c r="J38" s="56">
        <v>21.25</v>
      </c>
      <c r="K38" s="122">
        <f t="shared" si="4"/>
        <v>20.950169231909481</v>
      </c>
      <c r="L38" s="119"/>
      <c r="M38" s="120"/>
      <c r="N38" s="120"/>
      <c r="O38" s="123"/>
      <c r="P38" s="123"/>
      <c r="Q38" s="2" t="s">
        <v>14</v>
      </c>
      <c r="R38" s="2" t="s">
        <v>15</v>
      </c>
    </row>
    <row r="39" spans="1:18" ht="20.25" x14ac:dyDescent="0.3">
      <c r="A39" s="43">
        <v>43153</v>
      </c>
      <c r="B39" s="26" t="s">
        <v>214</v>
      </c>
      <c r="C39" s="93" t="s">
        <v>215</v>
      </c>
      <c r="D39" s="9">
        <v>5.0007999999999999</v>
      </c>
      <c r="E39" s="65">
        <v>100</v>
      </c>
      <c r="F39" s="3">
        <v>4</v>
      </c>
      <c r="G39" s="3">
        <v>18.55</v>
      </c>
      <c r="H39" s="3">
        <v>0.01</v>
      </c>
      <c r="I39" s="3">
        <f t="shared" si="3"/>
        <v>5.5649999999999998E-2</v>
      </c>
      <c r="J39" s="56">
        <v>20.399999999999999</v>
      </c>
      <c r="K39" s="122">
        <f t="shared" si="4"/>
        <v>21.820038205651802</v>
      </c>
      <c r="L39" s="119"/>
      <c r="M39" s="120"/>
      <c r="N39" s="120"/>
      <c r="O39" s="123"/>
      <c r="P39" s="123"/>
      <c r="Q39" s="2" t="s">
        <v>14</v>
      </c>
      <c r="R39" s="2" t="s">
        <v>15</v>
      </c>
    </row>
    <row r="40" spans="1:18" ht="20.25" x14ac:dyDescent="0.3">
      <c r="A40" s="43">
        <v>43153</v>
      </c>
      <c r="B40" s="26" t="s">
        <v>216</v>
      </c>
      <c r="C40" s="93" t="s">
        <v>217</v>
      </c>
      <c r="D40" s="9">
        <v>5.0002000000000004</v>
      </c>
      <c r="E40" s="65">
        <v>100</v>
      </c>
      <c r="F40" s="3">
        <v>4</v>
      </c>
      <c r="G40" s="3">
        <v>18.55</v>
      </c>
      <c r="H40" s="3">
        <v>0.01</v>
      </c>
      <c r="I40" s="3">
        <f t="shared" si="3"/>
        <v>5.5649999999999998E-2</v>
      </c>
      <c r="J40" s="56">
        <v>20.55</v>
      </c>
      <c r="K40" s="122">
        <f t="shared" si="4"/>
        <v>21.663367041960651</v>
      </c>
      <c r="L40" s="119"/>
      <c r="M40" s="120"/>
      <c r="N40" s="120"/>
      <c r="O40" s="123"/>
      <c r="P40" s="123"/>
      <c r="Q40" s="2" t="s">
        <v>14</v>
      </c>
      <c r="R40" s="2" t="s">
        <v>15</v>
      </c>
    </row>
    <row r="41" spans="1:18" ht="20.25" x14ac:dyDescent="0.3">
      <c r="A41" s="31">
        <v>43167</v>
      </c>
      <c r="B41" s="2" t="s">
        <v>155</v>
      </c>
      <c r="C41" s="85" t="s">
        <v>154</v>
      </c>
      <c r="D41" s="9">
        <v>5</v>
      </c>
      <c r="E41" s="65">
        <v>100</v>
      </c>
      <c r="F41" s="3">
        <v>8</v>
      </c>
      <c r="G41" s="3">
        <v>18.55</v>
      </c>
      <c r="H41" s="3">
        <v>0.01</v>
      </c>
      <c r="I41" s="3">
        <f t="shared" si="3"/>
        <v>5.5649999999999998E-2</v>
      </c>
      <c r="J41" s="56">
        <v>20.100000000000001</v>
      </c>
      <c r="K41" s="122">
        <f t="shared" si="4"/>
        <v>44.298507462686565</v>
      </c>
      <c r="L41" s="119"/>
      <c r="M41" s="120"/>
      <c r="N41" s="120"/>
      <c r="O41" s="123"/>
      <c r="P41" s="123"/>
      <c r="Q41" s="2" t="s">
        <v>14</v>
      </c>
      <c r="R41" s="2" t="s">
        <v>15</v>
      </c>
    </row>
    <row r="42" spans="1:18" ht="20.25" x14ac:dyDescent="0.3">
      <c r="A42" s="31">
        <v>43167</v>
      </c>
      <c r="B42" s="2" t="s">
        <v>219</v>
      </c>
      <c r="C42" s="93" t="s">
        <v>220</v>
      </c>
      <c r="D42" s="9">
        <v>1.0008999999999999</v>
      </c>
      <c r="E42" s="65">
        <v>100</v>
      </c>
      <c r="F42" s="3">
        <v>4</v>
      </c>
      <c r="G42" s="3">
        <v>18.55</v>
      </c>
      <c r="H42" s="3">
        <v>0.01</v>
      </c>
      <c r="I42" s="3">
        <f t="shared" si="3"/>
        <v>5.5649999999999998E-2</v>
      </c>
      <c r="J42" s="56">
        <v>22</v>
      </c>
      <c r="K42" s="122">
        <f t="shared" si="4"/>
        <v>101.09083642903207</v>
      </c>
      <c r="L42" s="119"/>
      <c r="M42" s="120"/>
      <c r="N42" s="120"/>
      <c r="O42" s="123"/>
      <c r="P42" s="123"/>
      <c r="Q42" s="2" t="s">
        <v>14</v>
      </c>
      <c r="R42" s="2" t="s">
        <v>15</v>
      </c>
    </row>
    <row r="43" spans="1:18" ht="20.25" x14ac:dyDescent="0.3">
      <c r="A43" s="31">
        <v>43162</v>
      </c>
      <c r="B43" s="45" t="s">
        <v>243</v>
      </c>
      <c r="C43" s="85" t="s">
        <v>242</v>
      </c>
      <c r="D43" s="9">
        <v>3.0005999999999999</v>
      </c>
      <c r="E43" s="65">
        <v>100</v>
      </c>
      <c r="F43" s="3">
        <v>1</v>
      </c>
      <c r="G43" s="3">
        <v>18.55</v>
      </c>
      <c r="H43" s="3">
        <v>0.01</v>
      </c>
      <c r="I43" s="3">
        <f t="shared" si="3"/>
        <v>5.5649999999999998E-2</v>
      </c>
      <c r="J43" s="56">
        <v>32.549999999999997</v>
      </c>
      <c r="K43" s="122">
        <f t="shared" si="4"/>
        <v>5.6977851741479668</v>
      </c>
      <c r="L43" s="119"/>
      <c r="M43" s="120"/>
      <c r="N43" s="120"/>
      <c r="O43" s="123"/>
      <c r="P43" s="123"/>
      <c r="Q43" s="2" t="s">
        <v>14</v>
      </c>
      <c r="R43" s="2" t="s">
        <v>15</v>
      </c>
    </row>
    <row r="44" spans="1:18" ht="20.25" x14ac:dyDescent="0.3">
      <c r="A44" s="31">
        <v>43173</v>
      </c>
      <c r="B44" s="2" t="s">
        <v>219</v>
      </c>
      <c r="C44" s="93" t="s">
        <v>220</v>
      </c>
      <c r="D44" s="9">
        <v>0.50080000000000002</v>
      </c>
      <c r="E44" s="65">
        <v>100</v>
      </c>
      <c r="F44" s="3">
        <v>2</v>
      </c>
      <c r="G44" s="3">
        <v>18.55</v>
      </c>
      <c r="H44" s="3">
        <v>0.01</v>
      </c>
      <c r="I44" s="3">
        <f t="shared" si="3"/>
        <v>5.5649999999999998E-2</v>
      </c>
      <c r="J44" s="56">
        <v>23.85</v>
      </c>
      <c r="K44" s="122">
        <f t="shared" si="4"/>
        <v>93.184238551650665</v>
      </c>
      <c r="L44" s="119"/>
      <c r="M44" s="120"/>
      <c r="N44" s="120"/>
      <c r="O44" s="123"/>
      <c r="P44" s="123"/>
      <c r="Q44" s="2" t="s">
        <v>14</v>
      </c>
      <c r="R44" s="2" t="s">
        <v>15</v>
      </c>
    </row>
    <row r="45" spans="1:18" ht="20.25" x14ac:dyDescent="0.3">
      <c r="A45" s="31">
        <v>43164</v>
      </c>
      <c r="B45" s="2" t="s">
        <v>284</v>
      </c>
      <c r="C45" s="85" t="s">
        <v>285</v>
      </c>
      <c r="D45" s="9">
        <v>5.0004999999999997</v>
      </c>
      <c r="E45" s="65">
        <v>100</v>
      </c>
      <c r="F45" s="3">
        <v>4</v>
      </c>
      <c r="G45" s="3">
        <v>18.55</v>
      </c>
      <c r="H45" s="3">
        <v>0.01</v>
      </c>
      <c r="I45" s="3">
        <f t="shared" si="3"/>
        <v>5.5649999999999998E-2</v>
      </c>
      <c r="J45" s="56">
        <v>20.100000000000001</v>
      </c>
      <c r="K45" s="122">
        <f t="shared" si="4"/>
        <v>22.147039027440538</v>
      </c>
      <c r="L45" s="119"/>
      <c r="M45" s="120"/>
      <c r="N45" s="120"/>
      <c r="O45" s="123"/>
      <c r="P45" s="123"/>
      <c r="Q45" s="2" t="s">
        <v>14</v>
      </c>
      <c r="R45" s="2" t="s">
        <v>15</v>
      </c>
    </row>
    <row r="46" spans="1:18" ht="20.25" x14ac:dyDescent="0.3">
      <c r="A46" s="31">
        <v>43164</v>
      </c>
      <c r="B46" s="2" t="s">
        <v>286</v>
      </c>
      <c r="C46" s="93" t="s">
        <v>287</v>
      </c>
      <c r="D46" s="9">
        <v>5.0008999999999997</v>
      </c>
      <c r="E46" s="65">
        <v>100</v>
      </c>
      <c r="F46" s="3">
        <v>4</v>
      </c>
      <c r="G46" s="3">
        <v>18.55</v>
      </c>
      <c r="H46" s="3">
        <v>0.01</v>
      </c>
      <c r="I46" s="3">
        <f t="shared" si="3"/>
        <v>5.5649999999999998E-2</v>
      </c>
      <c r="J46" s="56">
        <v>19.2</v>
      </c>
      <c r="K46" s="122">
        <f t="shared" si="4"/>
        <v>23.183327001139798</v>
      </c>
      <c r="L46" s="119"/>
      <c r="M46" s="120"/>
      <c r="N46" s="120"/>
      <c r="O46" s="123"/>
      <c r="P46" s="123"/>
      <c r="Q46" s="2" t="s">
        <v>14</v>
      </c>
      <c r="R46" s="2" t="s">
        <v>15</v>
      </c>
    </row>
    <row r="47" spans="1:18" ht="20.25" x14ac:dyDescent="0.3">
      <c r="A47" s="28">
        <v>43185</v>
      </c>
      <c r="B47" s="2" t="s">
        <v>299</v>
      </c>
      <c r="C47" s="85" t="s">
        <v>298</v>
      </c>
      <c r="D47" s="9">
        <v>3.0005000000000002</v>
      </c>
      <c r="E47" s="65">
        <v>100</v>
      </c>
      <c r="F47" s="3">
        <v>1</v>
      </c>
      <c r="G47" s="3">
        <v>17.34</v>
      </c>
      <c r="H47" s="3">
        <v>0.01</v>
      </c>
      <c r="I47" s="3">
        <f t="shared" si="3"/>
        <v>5.2019999999999997E-2</v>
      </c>
      <c r="J47" s="56">
        <v>24.4</v>
      </c>
      <c r="K47" s="122">
        <f t="shared" si="4"/>
        <v>7.1053731481911475</v>
      </c>
      <c r="L47" s="119"/>
      <c r="M47" s="120"/>
      <c r="N47" s="120"/>
      <c r="O47" s="123"/>
      <c r="P47" s="123"/>
      <c r="Q47" s="2" t="s">
        <v>14</v>
      </c>
      <c r="R47" s="2" t="s">
        <v>15</v>
      </c>
    </row>
    <row r="48" spans="1:18" ht="20.25" x14ac:dyDescent="0.3">
      <c r="A48" s="28">
        <v>43185</v>
      </c>
      <c r="B48" s="2" t="s">
        <v>300</v>
      </c>
      <c r="C48" s="85" t="s">
        <v>301</v>
      </c>
      <c r="D48" s="9">
        <v>3.0002</v>
      </c>
      <c r="E48" s="65">
        <v>100</v>
      </c>
      <c r="F48" s="3">
        <v>1</v>
      </c>
      <c r="G48" s="3">
        <v>17.34</v>
      </c>
      <c r="H48" s="3">
        <v>0.01</v>
      </c>
      <c r="I48" s="3">
        <f t="shared" si="3"/>
        <v>5.2019999999999997E-2</v>
      </c>
      <c r="J48" s="56">
        <v>22.1</v>
      </c>
      <c r="K48" s="122">
        <f t="shared" si="4"/>
        <v>7.8456308041002387</v>
      </c>
      <c r="L48" s="119"/>
      <c r="M48" s="120"/>
      <c r="N48" s="120"/>
      <c r="O48" s="123"/>
      <c r="P48" s="123"/>
      <c r="Q48" s="2" t="s">
        <v>14</v>
      </c>
      <c r="R48" s="2" t="s">
        <v>15</v>
      </c>
    </row>
    <row r="49" spans="1:18" ht="20.25" x14ac:dyDescent="0.3">
      <c r="A49" s="28">
        <v>43185</v>
      </c>
      <c r="B49" s="2" t="s">
        <v>302</v>
      </c>
      <c r="C49" s="85" t="s">
        <v>303</v>
      </c>
      <c r="D49" s="9">
        <v>4.0008999999999997</v>
      </c>
      <c r="E49" s="65">
        <v>100</v>
      </c>
      <c r="F49" s="3">
        <v>1</v>
      </c>
      <c r="G49" s="3">
        <v>17.34</v>
      </c>
      <c r="H49" s="3">
        <v>0.01</v>
      </c>
      <c r="I49" s="3">
        <f t="shared" si="3"/>
        <v>5.2019999999999997E-2</v>
      </c>
      <c r="J49" s="56">
        <v>43</v>
      </c>
      <c r="K49" s="122">
        <f t="shared" si="4"/>
        <v>3.0237382635418664</v>
      </c>
      <c r="L49" s="119"/>
      <c r="M49" s="120"/>
      <c r="N49" s="120"/>
      <c r="O49" s="123"/>
      <c r="P49" s="123"/>
      <c r="Q49" s="2" t="s">
        <v>14</v>
      </c>
      <c r="R49" s="2" t="s">
        <v>15</v>
      </c>
    </row>
    <row r="50" spans="1:18" ht="20.25" x14ac:dyDescent="0.3">
      <c r="A50" s="28">
        <v>43185</v>
      </c>
      <c r="B50" s="2" t="s">
        <v>299</v>
      </c>
      <c r="C50" s="85" t="s">
        <v>298</v>
      </c>
      <c r="D50" s="9">
        <v>3.0005000000000002</v>
      </c>
      <c r="E50" s="65">
        <v>100</v>
      </c>
      <c r="F50" s="3">
        <v>1</v>
      </c>
      <c r="G50" s="3">
        <v>17.34</v>
      </c>
      <c r="H50" s="3">
        <v>0.01</v>
      </c>
      <c r="I50" s="3">
        <f t="shared" si="3"/>
        <v>5.2019999999999997E-2</v>
      </c>
      <c r="J50" s="56">
        <v>24.3</v>
      </c>
      <c r="K50" s="122">
        <f t="shared" si="4"/>
        <v>7.134613366907983</v>
      </c>
      <c r="L50" s="119"/>
      <c r="M50" s="120"/>
      <c r="N50" s="120"/>
      <c r="O50" s="123"/>
      <c r="P50" s="123"/>
      <c r="Q50" s="2" t="s">
        <v>14</v>
      </c>
      <c r="R50" s="2" t="s">
        <v>15</v>
      </c>
    </row>
    <row r="51" spans="1:18" ht="20.25" x14ac:dyDescent="0.3">
      <c r="A51" s="28">
        <v>43185</v>
      </c>
      <c r="B51" s="2" t="s">
        <v>300</v>
      </c>
      <c r="C51" s="85" t="s">
        <v>301</v>
      </c>
      <c r="D51" s="9">
        <v>3.0002</v>
      </c>
      <c r="E51" s="65">
        <v>100</v>
      </c>
      <c r="F51" s="3">
        <v>1</v>
      </c>
      <c r="G51" s="3">
        <v>17.34</v>
      </c>
      <c r="H51" s="3">
        <v>0.01</v>
      </c>
      <c r="I51" s="3">
        <f t="shared" si="3"/>
        <v>5.2019999999999997E-2</v>
      </c>
      <c r="J51" s="56">
        <v>22.1</v>
      </c>
      <c r="K51" s="122">
        <f t="shared" si="4"/>
        <v>7.8456308041002387</v>
      </c>
      <c r="L51" s="119"/>
      <c r="M51" s="120"/>
      <c r="N51" s="120"/>
      <c r="O51" s="123"/>
      <c r="P51" s="123"/>
      <c r="Q51" s="2" t="s">
        <v>14</v>
      </c>
      <c r="R51" s="2" t="s">
        <v>15</v>
      </c>
    </row>
    <row r="52" spans="1:18" ht="20.25" x14ac:dyDescent="0.3">
      <c r="A52" s="28">
        <v>43185</v>
      </c>
      <c r="B52" s="2" t="s">
        <v>299</v>
      </c>
      <c r="C52" s="85" t="s">
        <v>298</v>
      </c>
      <c r="D52" s="9">
        <v>3.0005000000000002</v>
      </c>
      <c r="E52" s="65">
        <v>100</v>
      </c>
      <c r="F52" s="3">
        <v>1</v>
      </c>
      <c r="G52" s="3">
        <v>17.34</v>
      </c>
      <c r="H52" s="3">
        <v>0.01</v>
      </c>
      <c r="I52" s="3">
        <f t="shared" si="3"/>
        <v>5.2019999999999997E-2</v>
      </c>
      <c r="J52" s="56">
        <v>24.5</v>
      </c>
      <c r="K52" s="122">
        <f t="shared" si="4"/>
        <v>7.0763716251373063</v>
      </c>
      <c r="L52" s="119"/>
      <c r="M52" s="120"/>
      <c r="N52" s="120"/>
      <c r="O52" s="123"/>
      <c r="P52" s="123"/>
      <c r="Q52" s="2" t="s">
        <v>14</v>
      </c>
      <c r="R52" s="2" t="s">
        <v>15</v>
      </c>
    </row>
    <row r="53" spans="1:18" ht="20.25" x14ac:dyDescent="0.3">
      <c r="A53" s="28">
        <v>43185</v>
      </c>
      <c r="B53" s="2" t="s">
        <v>300</v>
      </c>
      <c r="C53" s="85" t="s">
        <v>301</v>
      </c>
      <c r="D53" s="9">
        <v>3.0002</v>
      </c>
      <c r="E53" s="65">
        <v>100</v>
      </c>
      <c r="F53" s="3">
        <v>1</v>
      </c>
      <c r="G53" s="3">
        <v>17.34</v>
      </c>
      <c r="H53" s="3">
        <v>0.01</v>
      </c>
      <c r="I53" s="3">
        <f t="shared" si="3"/>
        <v>5.2019999999999997E-2</v>
      </c>
      <c r="J53" s="56">
        <v>22.1</v>
      </c>
      <c r="K53" s="122">
        <f t="shared" si="4"/>
        <v>7.8456308041002387</v>
      </c>
      <c r="L53" s="119"/>
      <c r="M53" s="120"/>
      <c r="N53" s="120"/>
      <c r="O53" s="123"/>
      <c r="P53" s="123"/>
      <c r="Q53" s="2" t="s">
        <v>14</v>
      </c>
      <c r="R53" s="2" t="s">
        <v>15</v>
      </c>
    </row>
    <row r="54" spans="1:18" ht="20.25" x14ac:dyDescent="0.3">
      <c r="A54" s="28">
        <v>43187</v>
      </c>
      <c r="B54" s="2" t="s">
        <v>299</v>
      </c>
      <c r="C54" s="85" t="s">
        <v>298</v>
      </c>
      <c r="D54" s="9">
        <v>3.0009000000000001</v>
      </c>
      <c r="E54" s="65">
        <v>100</v>
      </c>
      <c r="F54" s="3">
        <v>1</v>
      </c>
      <c r="G54" s="3">
        <v>17.34</v>
      </c>
      <c r="H54" s="3">
        <v>0.01</v>
      </c>
      <c r="I54" s="3">
        <f t="shared" si="3"/>
        <v>5.2019999999999997E-2</v>
      </c>
      <c r="J54" s="56">
        <v>23.9</v>
      </c>
      <c r="K54" s="122">
        <f t="shared" si="4"/>
        <v>7.2530542092602346</v>
      </c>
      <c r="L54" s="119"/>
      <c r="M54" s="120"/>
      <c r="N54" s="120"/>
      <c r="O54" s="123"/>
      <c r="P54" s="123"/>
      <c r="Q54" s="2" t="s">
        <v>14</v>
      </c>
      <c r="R54" s="2" t="s">
        <v>15</v>
      </c>
    </row>
    <row r="55" spans="1:18" ht="20.25" x14ac:dyDescent="0.3">
      <c r="A55" s="28">
        <v>43187</v>
      </c>
      <c r="B55" s="2" t="s">
        <v>300</v>
      </c>
      <c r="C55" s="85" t="s">
        <v>301</v>
      </c>
      <c r="D55" s="9">
        <v>3.0009000000000001</v>
      </c>
      <c r="E55" s="65">
        <v>100</v>
      </c>
      <c r="F55" s="3">
        <v>1</v>
      </c>
      <c r="G55" s="3">
        <v>17.34</v>
      </c>
      <c r="H55" s="3">
        <v>0.01</v>
      </c>
      <c r="I55" s="3">
        <f t="shared" si="3"/>
        <v>5.2019999999999997E-2</v>
      </c>
      <c r="J55" s="56">
        <v>22.1</v>
      </c>
      <c r="K55" s="122">
        <f t="shared" si="4"/>
        <v>7.8438007059420629</v>
      </c>
      <c r="L55" s="119"/>
      <c r="M55" s="120"/>
      <c r="N55" s="120"/>
      <c r="O55" s="123"/>
      <c r="P55" s="123"/>
      <c r="Q55" s="2" t="s">
        <v>14</v>
      </c>
      <c r="R55" s="2" t="s">
        <v>15</v>
      </c>
    </row>
    <row r="56" spans="1:18" ht="20.25" x14ac:dyDescent="0.3">
      <c r="A56" s="28">
        <v>43187</v>
      </c>
      <c r="B56" s="2" t="s">
        <v>299</v>
      </c>
      <c r="C56" s="85" t="s">
        <v>298</v>
      </c>
      <c r="D56" s="9">
        <v>3.0009000000000001</v>
      </c>
      <c r="E56" s="65">
        <v>100</v>
      </c>
      <c r="F56" s="3">
        <v>1</v>
      </c>
      <c r="G56" s="3">
        <v>17.34</v>
      </c>
      <c r="H56" s="3">
        <v>0.01</v>
      </c>
      <c r="I56" s="3">
        <f t="shared" si="3"/>
        <v>5.2019999999999997E-2</v>
      </c>
      <c r="J56" s="56">
        <v>23.8</v>
      </c>
      <c r="K56" s="122">
        <f t="shared" si="4"/>
        <v>7.283529226946202</v>
      </c>
      <c r="L56" s="119"/>
      <c r="M56" s="120"/>
      <c r="N56" s="120"/>
      <c r="O56" s="123"/>
      <c r="P56" s="123"/>
      <c r="Q56" s="2" t="s">
        <v>14</v>
      </c>
      <c r="R56" s="2" t="s">
        <v>15</v>
      </c>
    </row>
    <row r="57" spans="1:18" ht="20.25" x14ac:dyDescent="0.3">
      <c r="A57" s="28">
        <v>43187</v>
      </c>
      <c r="B57" s="2" t="s">
        <v>300</v>
      </c>
      <c r="C57" s="85" t="s">
        <v>301</v>
      </c>
      <c r="D57" s="9">
        <v>3.0009000000000001</v>
      </c>
      <c r="E57" s="65">
        <v>100</v>
      </c>
      <c r="F57" s="3">
        <v>1</v>
      </c>
      <c r="G57" s="3">
        <v>17.34</v>
      </c>
      <c r="H57" s="3">
        <v>0.01</v>
      </c>
      <c r="I57" s="3">
        <f t="shared" si="3"/>
        <v>5.2019999999999997E-2</v>
      </c>
      <c r="J57" s="56">
        <v>22</v>
      </c>
      <c r="K57" s="122">
        <f t="shared" si="4"/>
        <v>7.8794543455145263</v>
      </c>
      <c r="L57" s="119"/>
      <c r="M57" s="120"/>
      <c r="N57" s="120"/>
      <c r="O57" s="123"/>
      <c r="P57" s="123"/>
      <c r="Q57" s="2" t="s">
        <v>14</v>
      </c>
      <c r="R57" s="2" t="s">
        <v>15</v>
      </c>
    </row>
    <row r="58" spans="1:18" ht="20.25" x14ac:dyDescent="0.3">
      <c r="A58" s="28">
        <v>43186</v>
      </c>
      <c r="B58" s="2" t="s">
        <v>308</v>
      </c>
      <c r="C58" s="124" t="s">
        <v>309</v>
      </c>
      <c r="D58" s="9">
        <v>20.000699999999998</v>
      </c>
      <c r="E58" s="65">
        <v>100</v>
      </c>
      <c r="F58" s="3">
        <v>2</v>
      </c>
      <c r="G58" s="3">
        <v>17.34</v>
      </c>
      <c r="H58" s="3">
        <v>0.01</v>
      </c>
      <c r="I58" s="3">
        <f t="shared" si="3"/>
        <v>5.2019999999999997E-2</v>
      </c>
      <c r="J58" s="56">
        <v>0</v>
      </c>
      <c r="K58" s="122" t="e">
        <f t="shared" si="4"/>
        <v>#DIV/0!</v>
      </c>
      <c r="L58" s="119"/>
      <c r="M58" s="120"/>
      <c r="N58" s="120"/>
      <c r="O58" s="3" t="s">
        <v>324</v>
      </c>
      <c r="P58" s="123"/>
      <c r="Q58" s="2" t="s">
        <v>14</v>
      </c>
      <c r="R58" s="2" t="s">
        <v>15</v>
      </c>
    </row>
    <row r="59" spans="1:18" ht="20.25" x14ac:dyDescent="0.3">
      <c r="A59" s="28">
        <v>43186</v>
      </c>
      <c r="B59" s="2" t="s">
        <v>310</v>
      </c>
      <c r="C59" s="124" t="s">
        <v>311</v>
      </c>
      <c r="D59" s="9">
        <v>20.000599999999999</v>
      </c>
      <c r="E59" s="65">
        <v>100</v>
      </c>
      <c r="F59" s="3">
        <v>2</v>
      </c>
      <c r="G59" s="3">
        <v>17.34</v>
      </c>
      <c r="H59" s="3">
        <v>0.01</v>
      </c>
      <c r="I59" s="3">
        <f t="shared" si="3"/>
        <v>5.2019999999999997E-2</v>
      </c>
      <c r="J59" s="56">
        <v>0</v>
      </c>
      <c r="K59" s="122" t="e">
        <f t="shared" si="4"/>
        <v>#DIV/0!</v>
      </c>
      <c r="L59" s="119"/>
      <c r="M59" s="120"/>
      <c r="N59" s="120"/>
      <c r="O59" s="3" t="s">
        <v>324</v>
      </c>
      <c r="P59" s="123"/>
      <c r="Q59" s="2" t="s">
        <v>14</v>
      </c>
      <c r="R59" s="2" t="s">
        <v>15</v>
      </c>
    </row>
    <row r="60" spans="1:18" ht="20.25" x14ac:dyDescent="0.3">
      <c r="A60" s="28">
        <v>43186</v>
      </c>
      <c r="B60" s="2" t="s">
        <v>315</v>
      </c>
      <c r="C60" s="124" t="s">
        <v>312</v>
      </c>
      <c r="D60" s="9">
        <v>20.000499999999999</v>
      </c>
      <c r="E60" s="65">
        <v>100</v>
      </c>
      <c r="F60" s="3">
        <v>2</v>
      </c>
      <c r="G60" s="3">
        <v>17.34</v>
      </c>
      <c r="H60" s="3">
        <v>0.01</v>
      </c>
      <c r="I60" s="3">
        <f t="shared" si="3"/>
        <v>5.2019999999999997E-2</v>
      </c>
      <c r="J60" s="56">
        <v>0</v>
      </c>
      <c r="K60" s="122" t="e">
        <f t="shared" si="4"/>
        <v>#DIV/0!</v>
      </c>
      <c r="L60" s="119"/>
      <c r="M60" s="120"/>
      <c r="N60" s="120"/>
      <c r="O60" s="3" t="s">
        <v>324</v>
      </c>
      <c r="P60" s="123"/>
      <c r="Q60" s="2" t="s">
        <v>14</v>
      </c>
      <c r="R60" s="2" t="s">
        <v>15</v>
      </c>
    </row>
    <row r="61" spans="1:18" ht="20.25" x14ac:dyDescent="0.3">
      <c r="A61" s="28">
        <v>43185</v>
      </c>
      <c r="B61" s="2" t="s">
        <v>316</v>
      </c>
      <c r="C61" s="124" t="s">
        <v>313</v>
      </c>
      <c r="D61" s="9">
        <v>10</v>
      </c>
      <c r="E61" s="65">
        <v>100</v>
      </c>
      <c r="F61" s="3">
        <v>2</v>
      </c>
      <c r="G61" s="3">
        <v>17.34</v>
      </c>
      <c r="H61" s="3">
        <v>0.01</v>
      </c>
      <c r="I61" s="3">
        <f t="shared" si="3"/>
        <v>5.2019999999999997E-2</v>
      </c>
      <c r="J61" s="56">
        <v>33.299999999999997</v>
      </c>
      <c r="K61" s="122">
        <f t="shared" si="4"/>
        <v>3.1243243243243244</v>
      </c>
      <c r="L61" s="119"/>
      <c r="M61" s="120"/>
      <c r="N61" s="120"/>
      <c r="O61" s="123"/>
      <c r="P61" s="123"/>
      <c r="Q61" s="2" t="s">
        <v>14</v>
      </c>
      <c r="R61" s="2" t="s">
        <v>15</v>
      </c>
    </row>
    <row r="62" spans="1:18" ht="20.25" x14ac:dyDescent="0.3">
      <c r="A62" s="28">
        <v>43186</v>
      </c>
      <c r="B62" s="2" t="s">
        <v>317</v>
      </c>
      <c r="C62" s="124" t="s">
        <v>314</v>
      </c>
      <c r="D62" s="9">
        <v>20.000900000000001</v>
      </c>
      <c r="E62" s="65">
        <v>100</v>
      </c>
      <c r="F62" s="3">
        <v>2</v>
      </c>
      <c r="G62" s="3">
        <v>17.34</v>
      </c>
      <c r="H62" s="3">
        <v>0.01</v>
      </c>
      <c r="I62" s="3">
        <f t="shared" si="3"/>
        <v>5.2019999999999997E-2</v>
      </c>
      <c r="J62" s="56">
        <v>39.049999999999997</v>
      </c>
      <c r="K62" s="122">
        <f t="shared" si="4"/>
        <v>1.3320783407256276</v>
      </c>
      <c r="L62" s="119"/>
      <c r="M62" s="120"/>
      <c r="N62" s="120"/>
      <c r="O62" s="123"/>
      <c r="P62" s="123"/>
      <c r="Q62" s="2" t="s">
        <v>14</v>
      </c>
      <c r="R62" s="2" t="s">
        <v>15</v>
      </c>
    </row>
    <row r="63" spans="1:18" ht="20.25" x14ac:dyDescent="0.3">
      <c r="A63" s="28">
        <v>43186</v>
      </c>
      <c r="B63" s="2" t="s">
        <v>318</v>
      </c>
      <c r="C63" s="124" t="s">
        <v>321</v>
      </c>
      <c r="D63" s="9">
        <v>20.000900000000001</v>
      </c>
      <c r="E63" s="65">
        <v>100</v>
      </c>
      <c r="F63" s="3">
        <v>2</v>
      </c>
      <c r="G63" s="3">
        <v>17.34</v>
      </c>
      <c r="H63" s="3">
        <v>0.01</v>
      </c>
      <c r="I63" s="3">
        <f t="shared" si="3"/>
        <v>5.2019999999999997E-2</v>
      </c>
      <c r="J63" s="62">
        <v>39.4</v>
      </c>
      <c r="K63" s="122">
        <f t="shared" si="4"/>
        <v>1.3202451574958314</v>
      </c>
      <c r="L63" s="119"/>
      <c r="M63" s="120"/>
      <c r="N63" s="120"/>
      <c r="O63" s="123"/>
      <c r="P63" s="123"/>
      <c r="Q63" s="2" t="s">
        <v>14</v>
      </c>
      <c r="R63" s="2" t="s">
        <v>15</v>
      </c>
    </row>
    <row r="64" spans="1:18" ht="20.25" x14ac:dyDescent="0.3">
      <c r="A64" s="28">
        <v>43186</v>
      </c>
      <c r="B64" s="2" t="s">
        <v>319</v>
      </c>
      <c r="C64" s="124" t="s">
        <v>322</v>
      </c>
      <c r="D64" s="9">
        <v>20.000800000000002</v>
      </c>
      <c r="E64" s="65">
        <v>100</v>
      </c>
      <c r="F64" s="3">
        <v>2</v>
      </c>
      <c r="G64" s="3">
        <v>17.34</v>
      </c>
      <c r="H64" s="3">
        <v>0.01</v>
      </c>
      <c r="I64" s="3">
        <f t="shared" si="3"/>
        <v>5.2019999999999997E-2</v>
      </c>
      <c r="J64" s="56">
        <v>39.75</v>
      </c>
      <c r="K64" s="122">
        <f t="shared" si="4"/>
        <v>1.3086269002070103</v>
      </c>
      <c r="L64" s="119"/>
      <c r="M64" s="120"/>
      <c r="N64" s="120"/>
      <c r="O64" s="123"/>
      <c r="P64" s="123"/>
      <c r="Q64" s="2" t="s">
        <v>14</v>
      </c>
      <c r="R64" s="2" t="s">
        <v>15</v>
      </c>
    </row>
    <row r="65" spans="1:18" ht="20.25" x14ac:dyDescent="0.3">
      <c r="A65" s="28">
        <v>43186</v>
      </c>
      <c r="B65" s="2" t="s">
        <v>320</v>
      </c>
      <c r="C65" s="124" t="s">
        <v>323</v>
      </c>
      <c r="D65" s="9">
        <v>20.000900000000001</v>
      </c>
      <c r="E65" s="65">
        <v>100</v>
      </c>
      <c r="F65" s="3">
        <v>2</v>
      </c>
      <c r="G65" s="3">
        <v>17.34</v>
      </c>
      <c r="H65" s="3">
        <v>0.01</v>
      </c>
      <c r="I65" s="3">
        <f t="shared" si="3"/>
        <v>5.2019999999999997E-2</v>
      </c>
      <c r="J65" s="56">
        <v>39.5</v>
      </c>
      <c r="K65" s="122">
        <f t="shared" si="4"/>
        <v>1.3169027646920444</v>
      </c>
      <c r="L65" s="119"/>
      <c r="M65" s="120"/>
      <c r="N65" s="120"/>
      <c r="O65" s="123"/>
      <c r="P65" s="123"/>
      <c r="Q65" s="2" t="s">
        <v>14</v>
      </c>
      <c r="R65" s="2" t="s">
        <v>15</v>
      </c>
    </row>
    <row r="66" spans="1:18" ht="20.25" x14ac:dyDescent="0.3">
      <c r="A66" s="28">
        <v>43193</v>
      </c>
      <c r="B66" s="2" t="s">
        <v>299</v>
      </c>
      <c r="C66" s="124" t="s">
        <v>298</v>
      </c>
      <c r="D66" s="9">
        <v>3.0007999999999999</v>
      </c>
      <c r="E66" s="65">
        <v>100</v>
      </c>
      <c r="F66" s="3">
        <v>1</v>
      </c>
      <c r="G66" s="3">
        <v>17.34</v>
      </c>
      <c r="H66" s="3">
        <v>0.01</v>
      </c>
      <c r="I66" s="3">
        <f t="shared" si="3"/>
        <v>5.2019999999999997E-2</v>
      </c>
      <c r="J66" s="56">
        <v>23.8</v>
      </c>
      <c r="K66" s="122">
        <f t="shared" si="4"/>
        <v>7.2837719465285442</v>
      </c>
      <c r="L66" s="119"/>
      <c r="M66" s="120"/>
      <c r="N66" s="120"/>
      <c r="O66" s="123"/>
      <c r="P66" s="123"/>
      <c r="Q66" s="2" t="s">
        <v>14</v>
      </c>
      <c r="R66" s="2" t="s">
        <v>15</v>
      </c>
    </row>
    <row r="67" spans="1:18" ht="20.25" x14ac:dyDescent="0.3">
      <c r="A67" s="28">
        <v>43193</v>
      </c>
      <c r="B67" s="2" t="s">
        <v>299</v>
      </c>
      <c r="C67" s="124" t="s">
        <v>298</v>
      </c>
      <c r="D67" s="9">
        <v>3.0007999999999999</v>
      </c>
      <c r="E67" s="65">
        <v>100</v>
      </c>
      <c r="F67" s="3">
        <v>1</v>
      </c>
      <c r="G67" s="3">
        <v>17.34</v>
      </c>
      <c r="H67" s="3">
        <v>0.01</v>
      </c>
      <c r="I67" s="3">
        <f t="shared" si="3"/>
        <v>5.2019999999999997E-2</v>
      </c>
      <c r="J67" s="56">
        <v>23.8</v>
      </c>
      <c r="K67" s="122">
        <f t="shared" si="4"/>
        <v>7.2837719465285442</v>
      </c>
      <c r="L67" s="119"/>
      <c r="M67" s="120"/>
      <c r="N67" s="120"/>
      <c r="O67" s="123"/>
      <c r="P67" s="123"/>
      <c r="Q67" s="2" t="s">
        <v>14</v>
      </c>
      <c r="R67" s="2" t="s">
        <v>15</v>
      </c>
    </row>
    <row r="68" spans="1:18" ht="20.25" x14ac:dyDescent="0.3">
      <c r="A68" s="28">
        <v>43193</v>
      </c>
      <c r="B68" s="2" t="s">
        <v>300</v>
      </c>
      <c r="C68" s="124" t="s">
        <v>301</v>
      </c>
      <c r="D68" s="9">
        <v>3.0009000000000001</v>
      </c>
      <c r="E68" s="65">
        <v>100</v>
      </c>
      <c r="F68" s="3">
        <v>1</v>
      </c>
      <c r="G68" s="3">
        <v>17.34</v>
      </c>
      <c r="H68" s="3">
        <v>0.01</v>
      </c>
      <c r="I68" s="3">
        <f t="shared" si="3"/>
        <v>5.2019999999999997E-2</v>
      </c>
      <c r="J68" s="56">
        <v>22.3</v>
      </c>
      <c r="K68" s="122">
        <f t="shared" si="4"/>
        <v>7.773452717547964</v>
      </c>
      <c r="L68" s="119"/>
      <c r="M68" s="120"/>
      <c r="N68" s="120"/>
      <c r="O68" s="123"/>
      <c r="P68" s="123"/>
      <c r="Q68" s="2" t="s">
        <v>14</v>
      </c>
      <c r="R68" s="2" t="s">
        <v>15</v>
      </c>
    </row>
    <row r="69" spans="1:18" ht="20.25" x14ac:dyDescent="0.3">
      <c r="A69" s="28">
        <v>43193</v>
      </c>
      <c r="B69" s="2" t="s">
        <v>300</v>
      </c>
      <c r="C69" s="124" t="s">
        <v>301</v>
      </c>
      <c r="D69" s="9">
        <v>3.0009000000000001</v>
      </c>
      <c r="E69" s="65">
        <v>100</v>
      </c>
      <c r="F69" s="3">
        <v>1</v>
      </c>
      <c r="G69" s="3">
        <v>17.34</v>
      </c>
      <c r="H69" s="3">
        <v>0.01</v>
      </c>
      <c r="I69" s="3">
        <f t="shared" si="3"/>
        <v>5.2019999999999997E-2</v>
      </c>
      <c r="J69" s="56">
        <v>21.9</v>
      </c>
      <c r="K69" s="122">
        <f t="shared" si="4"/>
        <v>7.9154335891013536</v>
      </c>
      <c r="L69" s="119"/>
      <c r="M69" s="120"/>
      <c r="N69" s="120"/>
      <c r="O69" s="123"/>
      <c r="P69" s="123"/>
      <c r="Q69" s="2" t="s">
        <v>14</v>
      </c>
      <c r="R69" s="2" t="s">
        <v>15</v>
      </c>
    </row>
    <row r="70" spans="1:18" ht="20.25" x14ac:dyDescent="0.3">
      <c r="A70" s="28">
        <v>43193</v>
      </c>
      <c r="B70" s="2" t="s">
        <v>305</v>
      </c>
      <c r="C70" s="124" t="s">
        <v>304</v>
      </c>
      <c r="D70" s="9">
        <v>3.0009000000000001</v>
      </c>
      <c r="E70" s="65">
        <v>100</v>
      </c>
      <c r="F70" s="3">
        <v>1</v>
      </c>
      <c r="G70" s="3">
        <v>17.34</v>
      </c>
      <c r="H70" s="3">
        <v>0.01</v>
      </c>
      <c r="I70" s="3">
        <f t="shared" si="3"/>
        <v>5.2019999999999997E-2</v>
      </c>
      <c r="J70" s="56">
        <v>17.600000000000001</v>
      </c>
      <c r="K70" s="122">
        <f t="shared" si="4"/>
        <v>9.8493179318931592</v>
      </c>
      <c r="L70" s="119"/>
      <c r="M70" s="120"/>
      <c r="N70" s="120"/>
      <c r="O70" s="123"/>
      <c r="P70" s="123"/>
      <c r="Q70" s="2" t="s">
        <v>14</v>
      </c>
      <c r="R70" s="2" t="s">
        <v>15</v>
      </c>
    </row>
    <row r="71" spans="1:18" ht="20.25" x14ac:dyDescent="0.3">
      <c r="A71" s="28">
        <v>43193</v>
      </c>
      <c r="B71" s="2" t="s">
        <v>305</v>
      </c>
      <c r="C71" s="124" t="s">
        <v>304</v>
      </c>
      <c r="D71" s="9">
        <v>3.0009000000000001</v>
      </c>
      <c r="E71" s="65">
        <v>100</v>
      </c>
      <c r="F71" s="3">
        <v>1</v>
      </c>
      <c r="G71" s="3">
        <v>17.34</v>
      </c>
      <c r="H71" s="3">
        <v>0.01</v>
      </c>
      <c r="I71" s="3">
        <f t="shared" si="3"/>
        <v>5.2019999999999997E-2</v>
      </c>
      <c r="J71" s="56">
        <v>17.600000000000001</v>
      </c>
      <c r="K71" s="122">
        <f t="shared" si="4"/>
        <v>9.8493179318931592</v>
      </c>
      <c r="L71" s="119"/>
      <c r="M71" s="120"/>
      <c r="N71" s="120"/>
      <c r="O71" s="123"/>
      <c r="P71" s="123"/>
      <c r="Q71" s="2" t="s">
        <v>14</v>
      </c>
      <c r="R71" s="2" t="s">
        <v>15</v>
      </c>
    </row>
    <row r="72" spans="1:18" ht="20.25" x14ac:dyDescent="0.3">
      <c r="A72" s="28">
        <v>43193</v>
      </c>
      <c r="B72" s="2" t="s">
        <v>302</v>
      </c>
      <c r="C72" s="124" t="s">
        <v>303</v>
      </c>
      <c r="D72" s="9">
        <v>4.0003000000000002</v>
      </c>
      <c r="E72" s="65">
        <v>100</v>
      </c>
      <c r="F72" s="3">
        <v>1</v>
      </c>
      <c r="G72" s="3">
        <v>17.34</v>
      </c>
      <c r="H72" s="3">
        <v>0.01</v>
      </c>
      <c r="I72" s="3">
        <f t="shared" si="3"/>
        <v>5.2019999999999997E-2</v>
      </c>
      <c r="J72" s="56">
        <v>42.8</v>
      </c>
      <c r="K72" s="122">
        <f t="shared" si="4"/>
        <v>3.0383235276045886</v>
      </c>
      <c r="L72" s="119"/>
      <c r="M72" s="120"/>
      <c r="N72" s="120"/>
      <c r="O72" s="123"/>
      <c r="P72" s="123"/>
      <c r="Q72" s="2" t="s">
        <v>14</v>
      </c>
      <c r="R72" s="2" t="s">
        <v>15</v>
      </c>
    </row>
    <row r="73" spans="1:18" ht="20.25" x14ac:dyDescent="0.3">
      <c r="A73" s="28">
        <v>43193</v>
      </c>
      <c r="B73" s="2" t="s">
        <v>302</v>
      </c>
      <c r="C73" s="85" t="s">
        <v>303</v>
      </c>
      <c r="D73" s="9">
        <v>4.0003000000000002</v>
      </c>
      <c r="E73" s="65">
        <v>100</v>
      </c>
      <c r="F73" s="3">
        <v>1</v>
      </c>
      <c r="G73" s="3">
        <v>17.34</v>
      </c>
      <c r="H73" s="3">
        <v>0.01</v>
      </c>
      <c r="I73" s="3">
        <f t="shared" si="3"/>
        <v>5.2019999999999997E-2</v>
      </c>
      <c r="J73" s="56">
        <v>43.1</v>
      </c>
      <c r="K73" s="122">
        <f t="shared" si="4"/>
        <v>3.0171751039785697</v>
      </c>
      <c r="L73" s="119"/>
      <c r="M73" s="120"/>
      <c r="N73" s="120"/>
      <c r="O73" s="123"/>
      <c r="P73" s="123"/>
      <c r="Q73" s="2" t="s">
        <v>14</v>
      </c>
      <c r="R73" s="2" t="s">
        <v>15</v>
      </c>
    </row>
    <row r="74" spans="1:18" ht="20.25" x14ac:dyDescent="0.3">
      <c r="A74" s="28">
        <v>43195</v>
      </c>
      <c r="B74" s="2" t="s">
        <v>325</v>
      </c>
      <c r="C74" s="85" t="s">
        <v>326</v>
      </c>
      <c r="D74" s="9">
        <v>40.0002</v>
      </c>
      <c r="E74" s="65">
        <v>200</v>
      </c>
      <c r="F74" s="3">
        <v>1</v>
      </c>
      <c r="G74" s="3">
        <v>17.34</v>
      </c>
      <c r="H74" s="3">
        <v>0.01</v>
      </c>
      <c r="I74" s="3">
        <f t="shared" si="3"/>
        <v>5.2019999999999997E-2</v>
      </c>
      <c r="J74" s="56">
        <v>15.3</v>
      </c>
      <c r="K74" s="122">
        <f t="shared" si="4"/>
        <v>1.6999915000424997</v>
      </c>
      <c r="L74" s="119"/>
      <c r="M74" s="120"/>
      <c r="N74" s="120"/>
      <c r="O74" s="123"/>
      <c r="P74" s="123"/>
      <c r="Q74" s="2" t="s">
        <v>14</v>
      </c>
      <c r="R74" s="2" t="s">
        <v>15</v>
      </c>
    </row>
    <row r="75" spans="1:18" ht="20.25" x14ac:dyDescent="0.3">
      <c r="A75" s="28">
        <v>43195</v>
      </c>
      <c r="B75" s="2" t="s">
        <v>325</v>
      </c>
      <c r="C75" s="85" t="s">
        <v>326</v>
      </c>
      <c r="D75" s="9">
        <v>40.0002</v>
      </c>
      <c r="E75" s="65">
        <v>200</v>
      </c>
      <c r="F75" s="3">
        <v>1</v>
      </c>
      <c r="G75" s="3">
        <v>17.34</v>
      </c>
      <c r="H75" s="3">
        <v>0.01</v>
      </c>
      <c r="I75" s="3">
        <f t="shared" si="3"/>
        <v>5.2019999999999997E-2</v>
      </c>
      <c r="J75" s="56">
        <v>15.4</v>
      </c>
      <c r="K75" s="122">
        <f t="shared" si="4"/>
        <v>1.6889525941980676</v>
      </c>
      <c r="L75" s="119"/>
      <c r="M75" s="120"/>
      <c r="N75" s="120"/>
      <c r="O75" s="123"/>
      <c r="P75" s="123"/>
      <c r="Q75" s="2" t="s">
        <v>14</v>
      </c>
      <c r="R75" s="2" t="s">
        <v>15</v>
      </c>
    </row>
    <row r="76" spans="1:18" ht="20.25" x14ac:dyDescent="0.3">
      <c r="A76" s="31">
        <v>43195</v>
      </c>
      <c r="B76" s="2" t="s">
        <v>355</v>
      </c>
      <c r="C76" s="85" t="s">
        <v>356</v>
      </c>
      <c r="D76" s="9">
        <v>5.0004</v>
      </c>
      <c r="E76" s="65">
        <v>100</v>
      </c>
      <c r="F76" s="3">
        <v>4</v>
      </c>
      <c r="G76" s="3">
        <v>17.34</v>
      </c>
      <c r="H76" s="3">
        <v>0.01</v>
      </c>
      <c r="I76" s="3">
        <f t="shared" si="3"/>
        <v>5.2019999999999997E-2</v>
      </c>
      <c r="J76" s="56">
        <v>24.2</v>
      </c>
      <c r="K76" s="122">
        <f t="shared" si="4"/>
        <v>17.195318589388879</v>
      </c>
      <c r="L76" s="119"/>
      <c r="M76" s="120"/>
      <c r="N76" s="120"/>
      <c r="O76" s="123"/>
      <c r="P76" s="123"/>
      <c r="Q76" s="2" t="s">
        <v>14</v>
      </c>
      <c r="R76" s="2" t="s">
        <v>15</v>
      </c>
    </row>
    <row r="77" spans="1:18" ht="20.25" x14ac:dyDescent="0.3">
      <c r="A77" s="31">
        <v>43195</v>
      </c>
      <c r="B77" s="2" t="s">
        <v>355</v>
      </c>
      <c r="C77" s="85" t="s">
        <v>356</v>
      </c>
      <c r="D77" s="9">
        <v>5.0004</v>
      </c>
      <c r="E77" s="65">
        <v>100</v>
      </c>
      <c r="F77" s="3">
        <v>4</v>
      </c>
      <c r="G77" s="3">
        <v>17.34</v>
      </c>
      <c r="H77" s="3">
        <v>0.01</v>
      </c>
      <c r="I77" s="3">
        <f>G77*H77*15/50</f>
        <v>5.2019999999999997E-2</v>
      </c>
      <c r="J77" s="56">
        <v>24.3</v>
      </c>
      <c r="K77" s="122">
        <f t="shared" si="4"/>
        <v>17.124555961449005</v>
      </c>
      <c r="L77" s="119"/>
      <c r="M77" s="120"/>
      <c r="N77" s="120"/>
      <c r="O77" s="123"/>
      <c r="P77" s="123"/>
      <c r="Q77" s="2" t="s">
        <v>14</v>
      </c>
      <c r="R77" s="2" t="s">
        <v>15</v>
      </c>
    </row>
    <row r="78" spans="1:18" ht="20.25" x14ac:dyDescent="0.3">
      <c r="A78" s="31">
        <v>43206</v>
      </c>
      <c r="B78" s="53" t="s">
        <v>375</v>
      </c>
      <c r="C78" s="111" t="s">
        <v>374</v>
      </c>
      <c r="D78" s="9">
        <v>3</v>
      </c>
      <c r="E78" s="65">
        <v>100</v>
      </c>
      <c r="F78" s="3">
        <v>2</v>
      </c>
      <c r="G78" s="3">
        <v>17.34</v>
      </c>
      <c r="H78" s="3">
        <v>0.01</v>
      </c>
      <c r="I78" s="3">
        <f t="shared" si="3"/>
        <v>5.2019999999999997E-2</v>
      </c>
      <c r="J78" s="56">
        <v>15.55</v>
      </c>
      <c r="K78" s="122">
        <f t="shared" si="4"/>
        <v>22.30225080385852</v>
      </c>
      <c r="L78" s="119"/>
      <c r="M78" s="120"/>
      <c r="N78" s="120"/>
      <c r="O78" s="123"/>
      <c r="P78" s="123"/>
      <c r="Q78" s="2" t="s">
        <v>14</v>
      </c>
      <c r="R78" s="2" t="s">
        <v>15</v>
      </c>
    </row>
    <row r="79" spans="1:18" ht="20.25" x14ac:dyDescent="0.3">
      <c r="A79" s="31">
        <v>43214</v>
      </c>
      <c r="B79" s="2" t="s">
        <v>400</v>
      </c>
      <c r="C79" s="85" t="s">
        <v>392</v>
      </c>
      <c r="D79" s="9">
        <v>20.000399999999999</v>
      </c>
      <c r="E79" s="65">
        <v>100</v>
      </c>
      <c r="F79" s="3">
        <v>2</v>
      </c>
      <c r="G79" s="3">
        <v>17.34</v>
      </c>
      <c r="H79" s="3">
        <v>0.01</v>
      </c>
      <c r="I79" s="3">
        <f t="shared" si="3"/>
        <v>5.2019999999999997E-2</v>
      </c>
      <c r="J79" s="56">
        <v>74</v>
      </c>
      <c r="K79" s="122">
        <f t="shared" si="4"/>
        <v>0.70295891379469722</v>
      </c>
      <c r="L79" s="119"/>
      <c r="M79" s="120"/>
      <c r="N79" s="120"/>
      <c r="O79" s="123"/>
      <c r="P79" s="123"/>
      <c r="Q79" s="2" t="s">
        <v>14</v>
      </c>
      <c r="R79" s="2" t="s">
        <v>15</v>
      </c>
    </row>
    <row r="80" spans="1:18" ht="20.25" x14ac:dyDescent="0.3">
      <c r="A80" s="31">
        <v>43214</v>
      </c>
      <c r="B80" s="2" t="s">
        <v>401</v>
      </c>
      <c r="C80" s="85" t="s">
        <v>393</v>
      </c>
      <c r="D80" s="9">
        <v>20.0001</v>
      </c>
      <c r="E80" s="65">
        <v>100</v>
      </c>
      <c r="F80" s="3">
        <v>2</v>
      </c>
      <c r="G80" s="3">
        <v>17.34</v>
      </c>
      <c r="H80" s="3">
        <v>0.01</v>
      </c>
      <c r="I80" s="3">
        <f t="shared" si="3"/>
        <v>5.2019999999999997E-2</v>
      </c>
      <c r="J80" s="56">
        <v>80</v>
      </c>
      <c r="K80" s="122">
        <f t="shared" si="4"/>
        <v>0.65024674876625621</v>
      </c>
      <c r="L80" s="119"/>
      <c r="M80" s="120"/>
      <c r="N80" s="120"/>
      <c r="O80" s="123"/>
      <c r="P80" s="123"/>
      <c r="Q80" s="2" t="s">
        <v>14</v>
      </c>
      <c r="R80" s="2" t="s">
        <v>15</v>
      </c>
    </row>
    <row r="81" spans="1:18" ht="20.25" x14ac:dyDescent="0.3">
      <c r="A81" s="31">
        <v>43214</v>
      </c>
      <c r="B81" s="2" t="s">
        <v>402</v>
      </c>
      <c r="C81" s="85" t="s">
        <v>394</v>
      </c>
      <c r="D81" s="9">
        <v>20.0001</v>
      </c>
      <c r="E81" s="65">
        <v>100</v>
      </c>
      <c r="F81" s="3">
        <v>2</v>
      </c>
      <c r="G81" s="3">
        <v>17.34</v>
      </c>
      <c r="H81" s="3">
        <v>0.01</v>
      </c>
      <c r="I81" s="3">
        <f t="shared" si="3"/>
        <v>5.2019999999999997E-2</v>
      </c>
      <c r="J81" s="56">
        <v>45</v>
      </c>
      <c r="K81" s="122">
        <f t="shared" si="4"/>
        <v>1.1559942200289</v>
      </c>
      <c r="L81" s="119"/>
      <c r="M81" s="120"/>
      <c r="N81" s="120"/>
      <c r="O81" s="123"/>
      <c r="P81" s="123"/>
      <c r="Q81" s="2" t="s">
        <v>14</v>
      </c>
      <c r="R81" s="2" t="s">
        <v>15</v>
      </c>
    </row>
    <row r="82" spans="1:18" ht="20.25" x14ac:dyDescent="0.3">
      <c r="A82" s="31">
        <v>43214</v>
      </c>
      <c r="B82" s="2" t="s">
        <v>403</v>
      </c>
      <c r="C82" s="85" t="s">
        <v>395</v>
      </c>
      <c r="D82" s="9">
        <v>20.000900000000001</v>
      </c>
      <c r="E82" s="65">
        <v>100</v>
      </c>
      <c r="F82" s="3">
        <v>2</v>
      </c>
      <c r="G82" s="3">
        <v>17.34</v>
      </c>
      <c r="H82" s="3">
        <v>0.01</v>
      </c>
      <c r="I82" s="3">
        <f t="shared" si="3"/>
        <v>5.2019999999999997E-2</v>
      </c>
      <c r="J82" s="56">
        <v>43.2</v>
      </c>
      <c r="K82" s="122">
        <f t="shared" si="4"/>
        <v>1.2041124816049944</v>
      </c>
      <c r="L82" s="119"/>
      <c r="M82" s="120"/>
      <c r="N82" s="120"/>
      <c r="O82" s="123"/>
      <c r="P82" s="123"/>
      <c r="Q82" s="2" t="s">
        <v>14</v>
      </c>
      <c r="R82" s="2" t="s">
        <v>15</v>
      </c>
    </row>
    <row r="83" spans="1:18" ht="20.25" x14ac:dyDescent="0.3">
      <c r="A83" s="31">
        <v>43214</v>
      </c>
      <c r="B83" s="2" t="s">
        <v>404</v>
      </c>
      <c r="C83" s="85" t="s">
        <v>396</v>
      </c>
      <c r="D83" s="9">
        <v>20.000299999999999</v>
      </c>
      <c r="E83" s="65">
        <v>100</v>
      </c>
      <c r="F83" s="3">
        <v>2</v>
      </c>
      <c r="G83" s="3">
        <v>17.34</v>
      </c>
      <c r="H83" s="3">
        <v>0.01</v>
      </c>
      <c r="I83" s="3">
        <f t="shared" si="3"/>
        <v>5.2019999999999997E-2</v>
      </c>
      <c r="J83" s="56">
        <v>33.4</v>
      </c>
      <c r="K83" s="122">
        <f t="shared" si="4"/>
        <v>1.5574616680150997</v>
      </c>
      <c r="L83" s="119"/>
      <c r="M83" s="120"/>
      <c r="N83" s="120"/>
      <c r="O83" s="123"/>
      <c r="P83" s="123"/>
      <c r="Q83" s="2" t="s">
        <v>14</v>
      </c>
      <c r="R83" s="2" t="s">
        <v>15</v>
      </c>
    </row>
    <row r="84" spans="1:18" ht="20.25" x14ac:dyDescent="0.3">
      <c r="A84" s="31">
        <v>43214</v>
      </c>
      <c r="B84" s="2" t="s">
        <v>405</v>
      </c>
      <c r="C84" s="85" t="s">
        <v>397</v>
      </c>
      <c r="D84" s="9">
        <v>20.0001</v>
      </c>
      <c r="E84" s="65">
        <v>100</v>
      </c>
      <c r="F84" s="3">
        <v>2</v>
      </c>
      <c r="G84" s="3">
        <v>17.34</v>
      </c>
      <c r="H84" s="3">
        <v>0.01</v>
      </c>
      <c r="I84" s="3">
        <f t="shared" si="3"/>
        <v>5.2019999999999997E-2</v>
      </c>
      <c r="J84" s="56">
        <v>33.25</v>
      </c>
      <c r="K84" s="122">
        <f t="shared" si="4"/>
        <v>1.5645034556782103</v>
      </c>
      <c r="L84" s="119"/>
      <c r="M84" s="120"/>
      <c r="N84" s="120"/>
      <c r="O84" s="123"/>
      <c r="P84" s="123"/>
      <c r="Q84" s="2" t="s">
        <v>14</v>
      </c>
      <c r="R84" s="2" t="s">
        <v>15</v>
      </c>
    </row>
    <row r="85" spans="1:18" ht="20.25" x14ac:dyDescent="0.3">
      <c r="A85" s="31">
        <v>43215</v>
      </c>
      <c r="B85" s="2" t="s">
        <v>406</v>
      </c>
      <c r="C85" s="85" t="s">
        <v>409</v>
      </c>
      <c r="D85" s="9">
        <v>20.000699999999998</v>
      </c>
      <c r="E85" s="65">
        <v>100</v>
      </c>
      <c r="F85" s="3">
        <v>2</v>
      </c>
      <c r="G85" s="3">
        <v>17.8</v>
      </c>
      <c r="H85" s="3">
        <v>0.01</v>
      </c>
      <c r="I85" s="3">
        <f t="shared" si="3"/>
        <v>5.340000000000001E-2</v>
      </c>
      <c r="J85" s="56">
        <v>31.45</v>
      </c>
      <c r="K85" s="122">
        <f t="shared" si="4"/>
        <v>1.6978738017619308</v>
      </c>
      <c r="L85" s="119"/>
      <c r="M85" s="120"/>
      <c r="N85" s="120"/>
      <c r="O85" s="123"/>
      <c r="P85" s="123"/>
      <c r="Q85" s="2" t="s">
        <v>14</v>
      </c>
      <c r="R85" s="2" t="s">
        <v>15</v>
      </c>
    </row>
    <row r="86" spans="1:18" ht="20.25" x14ac:dyDescent="0.3">
      <c r="A86" s="31">
        <v>43215</v>
      </c>
      <c r="B86" s="2" t="s">
        <v>407</v>
      </c>
      <c r="C86" s="85" t="s">
        <v>398</v>
      </c>
      <c r="D86" s="9">
        <v>20.000599999999999</v>
      </c>
      <c r="E86" s="65">
        <v>100</v>
      </c>
      <c r="F86" s="3">
        <v>2</v>
      </c>
      <c r="G86" s="3">
        <v>17.8</v>
      </c>
      <c r="H86" s="3">
        <v>0.01</v>
      </c>
      <c r="I86" s="3">
        <f t="shared" si="3"/>
        <v>5.340000000000001E-2</v>
      </c>
      <c r="J86" s="56">
        <v>31.4</v>
      </c>
      <c r="K86" s="122">
        <f t="shared" si="4"/>
        <v>1.7005859250974069</v>
      </c>
      <c r="L86" s="119"/>
      <c r="M86" s="120"/>
      <c r="N86" s="120"/>
      <c r="O86" s="123"/>
      <c r="P86" s="123"/>
      <c r="Q86" s="2" t="s">
        <v>14</v>
      </c>
      <c r="R86" s="2" t="s">
        <v>15</v>
      </c>
    </row>
    <row r="87" spans="1:18" ht="20.25" x14ac:dyDescent="0.3">
      <c r="A87" s="31">
        <v>43215</v>
      </c>
      <c r="B87" s="2" t="s">
        <v>408</v>
      </c>
      <c r="C87" s="85" t="s">
        <v>399</v>
      </c>
      <c r="D87" s="9">
        <v>20.000699999999998</v>
      </c>
      <c r="E87" s="65">
        <v>100</v>
      </c>
      <c r="F87" s="3">
        <v>2</v>
      </c>
      <c r="G87" s="3">
        <v>17.8</v>
      </c>
      <c r="H87" s="3">
        <v>0.01</v>
      </c>
      <c r="I87" s="3">
        <f t="shared" si="3"/>
        <v>5.340000000000001E-2</v>
      </c>
      <c r="J87" s="56">
        <v>30.2</v>
      </c>
      <c r="K87" s="122">
        <f t="shared" si="4"/>
        <v>1.7681500352785671</v>
      </c>
      <c r="L87" s="119"/>
      <c r="M87" s="120"/>
      <c r="N87" s="120"/>
      <c r="O87" s="123"/>
      <c r="P87" s="123"/>
      <c r="Q87" s="2" t="s">
        <v>14</v>
      </c>
      <c r="R87" s="2" t="s">
        <v>15</v>
      </c>
    </row>
    <row r="88" spans="1:18" ht="20.25" x14ac:dyDescent="0.3">
      <c r="A88" s="31">
        <v>43195</v>
      </c>
      <c r="B88" s="2" t="s">
        <v>355</v>
      </c>
      <c r="C88" s="85" t="s">
        <v>356</v>
      </c>
      <c r="D88" s="5">
        <v>5</v>
      </c>
      <c r="E88" s="65">
        <v>100</v>
      </c>
      <c r="F88" s="3">
        <v>4</v>
      </c>
      <c r="G88" s="3">
        <v>17.8</v>
      </c>
      <c r="H88" s="3">
        <v>0.01</v>
      </c>
      <c r="I88" s="3">
        <f t="shared" si="3"/>
        <v>5.340000000000001E-2</v>
      </c>
      <c r="J88" s="56">
        <v>27.8</v>
      </c>
      <c r="K88" s="122">
        <f t="shared" si="4"/>
        <v>15.366906474820146</v>
      </c>
      <c r="L88" s="119"/>
      <c r="M88" s="120"/>
      <c r="N88" s="120"/>
      <c r="O88" s="123"/>
      <c r="P88" s="123"/>
      <c r="Q88" s="2" t="s">
        <v>14</v>
      </c>
      <c r="R88" s="2" t="s">
        <v>15</v>
      </c>
    </row>
    <row r="89" spans="1:18" ht="20.25" x14ac:dyDescent="0.3">
      <c r="A89" s="31">
        <v>43195</v>
      </c>
      <c r="B89" s="2" t="s">
        <v>355</v>
      </c>
      <c r="C89" s="85" t="s">
        <v>356</v>
      </c>
      <c r="D89" s="5">
        <v>5</v>
      </c>
      <c r="E89" s="65">
        <v>100</v>
      </c>
      <c r="F89" s="3">
        <v>4</v>
      </c>
      <c r="G89" s="3">
        <v>17.8</v>
      </c>
      <c r="H89" s="3">
        <v>0.01</v>
      </c>
      <c r="I89" s="3">
        <f t="shared" si="3"/>
        <v>5.340000000000001E-2</v>
      </c>
      <c r="J89" s="56">
        <v>27.5</v>
      </c>
      <c r="K89" s="122">
        <f t="shared" si="4"/>
        <v>15.534545454545457</v>
      </c>
      <c r="L89" s="119"/>
      <c r="M89" s="120"/>
      <c r="N89" s="120"/>
      <c r="O89" s="123"/>
      <c r="P89" s="123"/>
      <c r="Q89" s="2" t="s">
        <v>14</v>
      </c>
      <c r="R89" s="2" t="s">
        <v>15</v>
      </c>
    </row>
    <row r="90" spans="1:18" ht="20.25" x14ac:dyDescent="0.3">
      <c r="A90" s="31">
        <v>43224</v>
      </c>
      <c r="B90" s="2" t="s">
        <v>155</v>
      </c>
      <c r="C90" s="14" t="s">
        <v>154</v>
      </c>
      <c r="D90" s="9">
        <v>2.0009000000000001</v>
      </c>
      <c r="E90" s="65">
        <v>100</v>
      </c>
      <c r="F90" s="3">
        <v>4</v>
      </c>
      <c r="G90" s="3">
        <v>17.8</v>
      </c>
      <c r="H90" s="3">
        <v>0.01</v>
      </c>
      <c r="I90" s="3">
        <f t="shared" si="3"/>
        <v>5.340000000000001E-2</v>
      </c>
      <c r="J90" s="56">
        <v>21.8</v>
      </c>
      <c r="K90" s="122">
        <f t="shared" si="4"/>
        <v>48.968789732693693</v>
      </c>
      <c r="L90" s="119"/>
      <c r="M90" s="120"/>
      <c r="N90" s="120"/>
      <c r="O90" s="123"/>
      <c r="P90" s="123"/>
      <c r="Q90" s="2" t="s">
        <v>14</v>
      </c>
      <c r="R90" s="2" t="s">
        <v>15</v>
      </c>
    </row>
    <row r="91" spans="1:18" ht="20.25" x14ac:dyDescent="0.3">
      <c r="A91" s="31">
        <v>43223</v>
      </c>
      <c r="B91" s="2" t="s">
        <v>451</v>
      </c>
      <c r="C91" s="85" t="s">
        <v>452</v>
      </c>
      <c r="D91" s="9">
        <v>20.000900000000001</v>
      </c>
      <c r="E91" s="65">
        <v>100</v>
      </c>
      <c r="F91" s="3">
        <v>2</v>
      </c>
      <c r="G91" s="3">
        <v>17.8</v>
      </c>
      <c r="H91" s="3">
        <v>0.01</v>
      </c>
      <c r="I91" s="3">
        <f t="shared" ref="I91:I117" si="5">G91*H91*15/50</f>
        <v>5.340000000000001E-2</v>
      </c>
      <c r="J91" s="56">
        <v>17.5</v>
      </c>
      <c r="K91" s="122">
        <f t="shared" si="4"/>
        <v>3.0512912633217226</v>
      </c>
      <c r="L91" s="119"/>
      <c r="M91" s="120"/>
      <c r="N91" s="120"/>
      <c r="O91" s="123"/>
      <c r="P91" s="123"/>
      <c r="Q91" s="2" t="s">
        <v>14</v>
      </c>
      <c r="R91" s="2" t="s">
        <v>15</v>
      </c>
    </row>
    <row r="92" spans="1:18" ht="20.25" x14ac:dyDescent="0.3">
      <c r="A92" s="31">
        <v>43223</v>
      </c>
      <c r="B92" s="2" t="s">
        <v>458</v>
      </c>
      <c r="C92" s="85" t="s">
        <v>455</v>
      </c>
      <c r="D92" s="9">
        <v>2.0009000000000001</v>
      </c>
      <c r="E92" s="65">
        <v>100</v>
      </c>
      <c r="F92" s="3">
        <v>2</v>
      </c>
      <c r="G92" s="3">
        <v>17.8</v>
      </c>
      <c r="H92" s="3">
        <v>0.01</v>
      </c>
      <c r="I92" s="3">
        <f t="shared" si="5"/>
        <v>5.340000000000001E-2</v>
      </c>
      <c r="J92" s="56">
        <v>23.8</v>
      </c>
      <c r="K92" s="122">
        <f t="shared" ref="K92:K155" si="6">+(I92/J92)*(E92/D92)*F92*100</f>
        <v>22.426882692704254</v>
      </c>
      <c r="L92" s="119"/>
      <c r="M92" s="120"/>
      <c r="N92" s="120"/>
      <c r="O92" s="123"/>
      <c r="P92" s="123"/>
      <c r="Q92" s="2" t="s">
        <v>14</v>
      </c>
      <c r="R92" s="2" t="s">
        <v>15</v>
      </c>
    </row>
    <row r="93" spans="1:18" ht="20.25" x14ac:dyDescent="0.3">
      <c r="A93" s="31">
        <v>43223</v>
      </c>
      <c r="B93" s="2" t="s">
        <v>453</v>
      </c>
      <c r="C93" s="85" t="s">
        <v>454</v>
      </c>
      <c r="D93" s="9">
        <v>20.0001</v>
      </c>
      <c r="E93" s="65">
        <v>100</v>
      </c>
      <c r="F93" s="3">
        <v>2</v>
      </c>
      <c r="G93" s="3">
        <v>17.8</v>
      </c>
      <c r="H93" s="3">
        <v>0.01</v>
      </c>
      <c r="I93" s="3">
        <f t="shared" si="5"/>
        <v>5.340000000000001E-2</v>
      </c>
      <c r="J93" s="56">
        <v>16.850000000000001</v>
      </c>
      <c r="K93" s="122">
        <f t="shared" si="6"/>
        <v>3.1691236202572699</v>
      </c>
      <c r="L93" s="119"/>
      <c r="M93" s="120"/>
      <c r="N93" s="120"/>
      <c r="O93" s="123"/>
      <c r="P93" s="123"/>
      <c r="Q93" s="2" t="s">
        <v>14</v>
      </c>
      <c r="R93" s="2" t="s">
        <v>15</v>
      </c>
    </row>
    <row r="94" spans="1:18" ht="20.25" x14ac:dyDescent="0.3">
      <c r="A94" s="31">
        <v>43224</v>
      </c>
      <c r="B94" s="2" t="s">
        <v>459</v>
      </c>
      <c r="C94" s="85" t="s">
        <v>456</v>
      </c>
      <c r="D94" s="9">
        <v>2.0009000000000001</v>
      </c>
      <c r="E94" s="65">
        <v>100</v>
      </c>
      <c r="F94" s="3">
        <v>2</v>
      </c>
      <c r="G94" s="3">
        <v>17.8</v>
      </c>
      <c r="H94" s="3">
        <v>0.01</v>
      </c>
      <c r="I94" s="3">
        <f t="shared" si="5"/>
        <v>5.340000000000001E-2</v>
      </c>
      <c r="J94" s="56">
        <v>40.9</v>
      </c>
      <c r="K94" s="122">
        <f t="shared" si="6"/>
        <v>13.050362055901255</v>
      </c>
      <c r="L94" s="119"/>
      <c r="M94" s="120"/>
      <c r="N94" s="120"/>
      <c r="O94" s="123"/>
      <c r="P94" s="123"/>
      <c r="Q94" s="2" t="s">
        <v>14</v>
      </c>
      <c r="R94" s="2" t="s">
        <v>15</v>
      </c>
    </row>
    <row r="95" spans="1:18" ht="20.25" x14ac:dyDescent="0.3">
      <c r="A95" s="31">
        <v>43224</v>
      </c>
      <c r="B95" s="2" t="s">
        <v>460</v>
      </c>
      <c r="C95" s="85" t="s">
        <v>457</v>
      </c>
      <c r="D95" s="9">
        <v>2.0005000000000002</v>
      </c>
      <c r="E95" s="65">
        <v>100</v>
      </c>
      <c r="F95" s="3">
        <v>2</v>
      </c>
      <c r="G95" s="3">
        <v>17.8</v>
      </c>
      <c r="H95" s="3">
        <v>0.01</v>
      </c>
      <c r="I95" s="3">
        <f t="shared" si="5"/>
        <v>5.340000000000001E-2</v>
      </c>
      <c r="J95" s="56">
        <v>18.5</v>
      </c>
      <c r="K95" s="122">
        <f t="shared" si="6"/>
        <v>28.857650452251804</v>
      </c>
      <c r="L95" s="119"/>
      <c r="M95" s="120"/>
      <c r="N95" s="120"/>
      <c r="O95" s="123"/>
      <c r="P95" s="123"/>
      <c r="Q95" s="2" t="s">
        <v>14</v>
      </c>
      <c r="R95" s="2" t="s">
        <v>15</v>
      </c>
    </row>
    <row r="96" spans="1:18" ht="20.25" x14ac:dyDescent="0.3">
      <c r="A96" s="31">
        <v>43224</v>
      </c>
      <c r="B96" t="s">
        <v>441</v>
      </c>
      <c r="C96" s="14" t="s">
        <v>442</v>
      </c>
      <c r="D96" s="9">
        <v>2.0005999999999999</v>
      </c>
      <c r="E96" s="65">
        <v>100</v>
      </c>
      <c r="F96" s="3">
        <v>2</v>
      </c>
      <c r="G96" s="3">
        <v>17.8</v>
      </c>
      <c r="H96" s="3">
        <v>0.01</v>
      </c>
      <c r="I96" s="3">
        <f t="shared" si="5"/>
        <v>5.340000000000001E-2</v>
      </c>
      <c r="J96" s="56">
        <v>41.4</v>
      </c>
      <c r="K96" s="122">
        <f t="shared" si="6"/>
        <v>12.894682319941703</v>
      </c>
      <c r="L96" s="119"/>
      <c r="M96" s="120"/>
      <c r="N96" s="120"/>
      <c r="O96" s="123"/>
      <c r="P96" s="123"/>
      <c r="Q96" s="2" t="s">
        <v>14</v>
      </c>
      <c r="R96" s="2" t="s">
        <v>15</v>
      </c>
    </row>
    <row r="97" spans="1:18" ht="20.25" x14ac:dyDescent="0.3">
      <c r="A97" s="31">
        <v>43229</v>
      </c>
      <c r="B97" s="2" t="s">
        <v>483</v>
      </c>
      <c r="C97" s="85" t="s">
        <v>482</v>
      </c>
      <c r="D97" s="9">
        <v>3.0007999999999999</v>
      </c>
      <c r="E97" s="65">
        <v>100</v>
      </c>
      <c r="F97" s="3">
        <v>1</v>
      </c>
      <c r="G97" s="3">
        <v>17.8</v>
      </c>
      <c r="H97" s="3">
        <v>0.01</v>
      </c>
      <c r="I97" s="3">
        <f t="shared" si="5"/>
        <v>5.340000000000001E-2</v>
      </c>
      <c r="J97" s="56">
        <v>26.9</v>
      </c>
      <c r="K97" s="122">
        <f t="shared" si="6"/>
        <v>6.6153362820719943</v>
      </c>
      <c r="L97" s="119"/>
      <c r="M97" s="120"/>
      <c r="N97" s="120"/>
      <c r="O97" s="123"/>
      <c r="P97" s="123"/>
      <c r="Q97" s="2" t="s">
        <v>14</v>
      </c>
      <c r="R97" s="2" t="s">
        <v>15</v>
      </c>
    </row>
    <row r="98" spans="1:18" ht="20.25" x14ac:dyDescent="0.3">
      <c r="A98" s="31">
        <v>43228</v>
      </c>
      <c r="B98" s="2" t="s">
        <v>468</v>
      </c>
      <c r="C98" s="85" t="s">
        <v>470</v>
      </c>
      <c r="D98" s="9">
        <v>1.0008999999999999</v>
      </c>
      <c r="E98" s="65">
        <v>100</v>
      </c>
      <c r="F98" s="3">
        <v>2</v>
      </c>
      <c r="G98" s="3">
        <v>17.8</v>
      </c>
      <c r="H98" s="3">
        <v>0.01</v>
      </c>
      <c r="I98" s="3">
        <f t="shared" si="5"/>
        <v>5.340000000000001E-2</v>
      </c>
      <c r="J98" s="56">
        <v>18.7</v>
      </c>
      <c r="K98" s="122">
        <f t="shared" si="6"/>
        <v>57.060944615087081</v>
      </c>
      <c r="L98" s="119"/>
      <c r="M98" s="120"/>
      <c r="N98" s="120"/>
      <c r="O98" s="123"/>
      <c r="P98" s="123"/>
      <c r="Q98" s="2" t="s">
        <v>14</v>
      </c>
      <c r="R98" s="2" t="s">
        <v>15</v>
      </c>
    </row>
    <row r="99" spans="1:18" ht="20.25" x14ac:dyDescent="0.3">
      <c r="A99" s="31">
        <v>43231</v>
      </c>
      <c r="B99" s="2" t="s">
        <v>492</v>
      </c>
      <c r="C99" s="85" t="s">
        <v>493</v>
      </c>
      <c r="D99" s="9">
        <v>2.0009000000000001</v>
      </c>
      <c r="E99" s="65">
        <v>100</v>
      </c>
      <c r="F99" s="3">
        <v>1</v>
      </c>
      <c r="G99" s="3">
        <v>17.8</v>
      </c>
      <c r="H99" s="3">
        <v>0.01</v>
      </c>
      <c r="I99" s="3">
        <f t="shared" si="5"/>
        <v>5.340000000000001E-2</v>
      </c>
      <c r="J99" s="56">
        <v>21.2</v>
      </c>
      <c r="K99" s="122">
        <f t="shared" si="6"/>
        <v>12.588674719017956</v>
      </c>
      <c r="L99" s="119"/>
      <c r="M99" s="120"/>
      <c r="N99" s="120"/>
      <c r="O99" s="123"/>
      <c r="P99" s="123"/>
      <c r="Q99" s="2" t="s">
        <v>14</v>
      </c>
      <c r="R99" s="2" t="s">
        <v>15</v>
      </c>
    </row>
    <row r="100" spans="1:18" ht="20.25" x14ac:dyDescent="0.3">
      <c r="A100" s="31">
        <v>43236</v>
      </c>
      <c r="B100" s="2" t="s">
        <v>515</v>
      </c>
      <c r="C100" s="85" t="s">
        <v>514</v>
      </c>
      <c r="D100" s="9">
        <v>40.000500000000002</v>
      </c>
      <c r="E100" s="65">
        <v>100</v>
      </c>
      <c r="F100" s="3">
        <v>2</v>
      </c>
      <c r="G100" s="3">
        <v>17.8</v>
      </c>
      <c r="H100" s="3">
        <v>0.01</v>
      </c>
      <c r="I100" s="3">
        <f t="shared" si="5"/>
        <v>5.340000000000001E-2</v>
      </c>
      <c r="J100" s="56">
        <v>0</v>
      </c>
      <c r="K100" s="122" t="e">
        <f t="shared" si="6"/>
        <v>#DIV/0!</v>
      </c>
      <c r="L100" s="119"/>
      <c r="M100" s="120"/>
      <c r="N100" s="120"/>
      <c r="O100" s="3" t="s">
        <v>324</v>
      </c>
      <c r="P100" s="123"/>
      <c r="Q100" s="2" t="s">
        <v>14</v>
      </c>
      <c r="R100" s="2" t="s">
        <v>15</v>
      </c>
    </row>
    <row r="101" spans="1:18" ht="20.25" x14ac:dyDescent="0.3">
      <c r="A101" s="74">
        <v>43236</v>
      </c>
      <c r="B101" s="36" t="s">
        <v>516</v>
      </c>
      <c r="C101" s="88" t="s">
        <v>517</v>
      </c>
      <c r="D101" s="9">
        <v>20.000299999999999</v>
      </c>
      <c r="E101" s="125">
        <v>100</v>
      </c>
      <c r="F101" s="57">
        <v>2</v>
      </c>
      <c r="G101" s="57">
        <v>17.8</v>
      </c>
      <c r="H101" s="57">
        <v>0.01</v>
      </c>
      <c r="I101" s="57">
        <f t="shared" si="5"/>
        <v>5.340000000000001E-2</v>
      </c>
      <c r="J101" s="73">
        <v>45.5</v>
      </c>
      <c r="K101" s="126">
        <f t="shared" si="6"/>
        <v>1.1736087694948314</v>
      </c>
      <c r="L101" s="127"/>
      <c r="M101" s="128"/>
      <c r="N101" s="128"/>
      <c r="O101" s="123"/>
      <c r="P101" s="123"/>
      <c r="Q101" s="2" t="s">
        <v>14</v>
      </c>
      <c r="R101" s="2" t="s">
        <v>15</v>
      </c>
    </row>
    <row r="102" spans="1:18" ht="20.25" x14ac:dyDescent="0.3">
      <c r="A102" s="31">
        <v>43238</v>
      </c>
      <c r="B102" s="8" t="s">
        <v>520</v>
      </c>
      <c r="C102" s="85" t="s">
        <v>521</v>
      </c>
      <c r="D102" s="9">
        <v>20.000499999999999</v>
      </c>
      <c r="E102" s="65">
        <v>100</v>
      </c>
      <c r="F102" s="3">
        <v>2</v>
      </c>
      <c r="G102" s="3">
        <v>17.8</v>
      </c>
      <c r="H102" s="3">
        <v>0.01</v>
      </c>
      <c r="I102" s="3">
        <f t="shared" si="5"/>
        <v>5.340000000000001E-2</v>
      </c>
      <c r="J102" s="56">
        <v>0</v>
      </c>
      <c r="K102" s="122" t="e">
        <f t="shared" si="6"/>
        <v>#DIV/0!</v>
      </c>
      <c r="L102" s="119"/>
      <c r="M102" s="120"/>
      <c r="N102" s="120"/>
      <c r="O102" s="3" t="s">
        <v>324</v>
      </c>
      <c r="P102" s="123"/>
      <c r="Q102" s="2" t="s">
        <v>14</v>
      </c>
      <c r="R102" s="2" t="s">
        <v>15</v>
      </c>
    </row>
    <row r="103" spans="1:18" ht="20.25" x14ac:dyDescent="0.3">
      <c r="A103" s="31">
        <v>43249</v>
      </c>
      <c r="B103" s="2" t="s">
        <v>544</v>
      </c>
      <c r="C103" s="85" t="s">
        <v>543</v>
      </c>
      <c r="D103" s="9">
        <v>26.000499999999999</v>
      </c>
      <c r="E103" s="65">
        <v>100</v>
      </c>
      <c r="F103" s="3">
        <v>2</v>
      </c>
      <c r="G103" s="3">
        <v>17.3</v>
      </c>
      <c r="H103" s="3">
        <v>0.01</v>
      </c>
      <c r="I103" s="3">
        <f t="shared" si="5"/>
        <v>5.1900000000000002E-2</v>
      </c>
      <c r="J103" s="56">
        <v>81.5</v>
      </c>
      <c r="K103" s="122">
        <f t="shared" si="6"/>
        <v>0.48984428449523676</v>
      </c>
      <c r="L103" s="119"/>
      <c r="M103" s="120"/>
      <c r="N103" s="120"/>
      <c r="O103" s="123"/>
      <c r="P103" s="123"/>
      <c r="Q103" s="2" t="s">
        <v>14</v>
      </c>
      <c r="R103" s="2" t="s">
        <v>15</v>
      </c>
    </row>
    <row r="104" spans="1:18" ht="20.25" x14ac:dyDescent="0.3">
      <c r="A104" s="31">
        <v>43256</v>
      </c>
      <c r="B104" s="2" t="s">
        <v>545</v>
      </c>
      <c r="C104" s="85" t="s">
        <v>546</v>
      </c>
      <c r="D104" s="9">
        <v>20.000900000000001</v>
      </c>
      <c r="E104" s="65">
        <v>100</v>
      </c>
      <c r="F104" s="3">
        <v>2</v>
      </c>
      <c r="G104" s="3">
        <v>17.3</v>
      </c>
      <c r="H104" s="3">
        <v>0.01</v>
      </c>
      <c r="I104" s="3">
        <f t="shared" si="5"/>
        <v>5.1900000000000002E-2</v>
      </c>
      <c r="J104" s="56">
        <v>44.15</v>
      </c>
      <c r="K104" s="122">
        <f t="shared" si="6"/>
        <v>1.1754850420179566</v>
      </c>
      <c r="L104" s="119"/>
      <c r="M104" s="120"/>
      <c r="N104" s="120"/>
      <c r="O104" s="123"/>
      <c r="P104" s="123"/>
      <c r="Q104" s="2" t="s">
        <v>14</v>
      </c>
      <c r="R104" s="2" t="s">
        <v>15</v>
      </c>
    </row>
    <row r="105" spans="1:18" ht="20.25" x14ac:dyDescent="0.3">
      <c r="A105" s="31">
        <v>43256</v>
      </c>
      <c r="B105" s="2" t="s">
        <v>568</v>
      </c>
      <c r="C105" s="85" t="s">
        <v>570</v>
      </c>
      <c r="D105" s="9">
        <v>20.000499999999999</v>
      </c>
      <c r="E105" s="65">
        <v>100</v>
      </c>
      <c r="F105" s="56">
        <f>2*(100/30)*(100/40)</f>
        <v>16.666666666666668</v>
      </c>
      <c r="G105" s="3">
        <v>17.3</v>
      </c>
      <c r="H105" s="3">
        <v>0.01</v>
      </c>
      <c r="I105" s="3">
        <f t="shared" si="5"/>
        <v>5.1900000000000002E-2</v>
      </c>
      <c r="J105" s="56">
        <v>32.5</v>
      </c>
      <c r="K105" s="122">
        <f t="shared" si="6"/>
        <v>13.307359623701718</v>
      </c>
      <c r="L105" s="119"/>
      <c r="M105" s="120"/>
      <c r="N105" s="120"/>
      <c r="O105" s="123"/>
      <c r="P105" s="123"/>
      <c r="Q105" s="2" t="s">
        <v>14</v>
      </c>
      <c r="R105" s="2" t="s">
        <v>15</v>
      </c>
    </row>
    <row r="106" spans="1:18" ht="20.25" x14ac:dyDescent="0.3">
      <c r="A106" s="31">
        <v>43257</v>
      </c>
      <c r="B106" s="2" t="s">
        <v>573</v>
      </c>
      <c r="C106" s="85" t="s">
        <v>571</v>
      </c>
      <c r="D106" s="9">
        <v>4.0008999999999997</v>
      </c>
      <c r="E106" s="65">
        <v>100</v>
      </c>
      <c r="F106" s="3">
        <v>2</v>
      </c>
      <c r="G106" s="3">
        <v>17.3</v>
      </c>
      <c r="H106" s="3">
        <v>0.01</v>
      </c>
      <c r="I106" s="3">
        <f t="shared" si="5"/>
        <v>5.1900000000000002E-2</v>
      </c>
      <c r="J106" s="56">
        <v>25.4</v>
      </c>
      <c r="K106" s="122">
        <f t="shared" si="6"/>
        <v>10.214237229694186</v>
      </c>
      <c r="L106" s="119"/>
      <c r="M106" s="120"/>
      <c r="N106" s="120"/>
      <c r="O106" s="123"/>
      <c r="P106" s="123"/>
      <c r="Q106" s="2" t="s">
        <v>14</v>
      </c>
      <c r="R106" s="2" t="s">
        <v>15</v>
      </c>
    </row>
    <row r="107" spans="1:18" ht="20.25" x14ac:dyDescent="0.3">
      <c r="A107" s="31">
        <v>43252</v>
      </c>
      <c r="B107" s="2" t="s">
        <v>576</v>
      </c>
      <c r="C107" s="85" t="s">
        <v>575</v>
      </c>
      <c r="D107" s="9">
        <v>20.000299999999999</v>
      </c>
      <c r="E107" s="65">
        <v>100</v>
      </c>
      <c r="F107" s="3">
        <v>2</v>
      </c>
      <c r="G107" s="3">
        <v>17.3</v>
      </c>
      <c r="H107" s="3">
        <v>0.01</v>
      </c>
      <c r="I107" s="3">
        <f t="shared" si="5"/>
        <v>5.1900000000000002E-2</v>
      </c>
      <c r="J107" s="56">
        <v>45.35</v>
      </c>
      <c r="K107" s="122">
        <f t="shared" si="6"/>
        <v>1.1444150278208891</v>
      </c>
      <c r="L107" s="119"/>
      <c r="M107" s="120"/>
      <c r="N107" s="120"/>
      <c r="O107" s="123"/>
      <c r="P107" s="123"/>
      <c r="Q107" s="2" t="s">
        <v>14</v>
      </c>
      <c r="R107" s="2" t="s">
        <v>15</v>
      </c>
    </row>
    <row r="108" spans="1:18" ht="20.25" x14ac:dyDescent="0.3">
      <c r="A108" s="31">
        <v>43269</v>
      </c>
      <c r="B108" s="2" t="s">
        <v>645</v>
      </c>
      <c r="C108" s="85" t="s">
        <v>644</v>
      </c>
      <c r="D108" s="9">
        <v>20.000900000000001</v>
      </c>
      <c r="E108" s="65">
        <v>100</v>
      </c>
      <c r="F108" s="3">
        <v>2</v>
      </c>
      <c r="G108" s="3">
        <v>17.3</v>
      </c>
      <c r="H108" s="3">
        <v>0.01</v>
      </c>
      <c r="I108" s="3">
        <f t="shared" si="5"/>
        <v>5.1900000000000002E-2</v>
      </c>
      <c r="J108" s="56">
        <v>79.3</v>
      </c>
      <c r="K108" s="122">
        <f t="shared" si="6"/>
        <v>0.65444722074518002</v>
      </c>
      <c r="L108" s="119"/>
      <c r="M108" s="120"/>
      <c r="N108" s="120"/>
      <c r="O108" s="123"/>
      <c r="P108" s="123"/>
      <c r="Q108" s="2" t="s">
        <v>14</v>
      </c>
      <c r="R108" s="2" t="s">
        <v>15</v>
      </c>
    </row>
    <row r="109" spans="1:18" ht="20.25" x14ac:dyDescent="0.3">
      <c r="A109" s="31">
        <v>43269</v>
      </c>
      <c r="B109" s="2" t="s">
        <v>646</v>
      </c>
      <c r="C109" s="85" t="s">
        <v>647</v>
      </c>
      <c r="D109" s="9">
        <v>20.000900000000001</v>
      </c>
      <c r="E109" s="65">
        <v>100</v>
      </c>
      <c r="F109" s="3">
        <v>2</v>
      </c>
      <c r="G109" s="3">
        <v>17.3</v>
      </c>
      <c r="H109" s="3">
        <v>0.01</v>
      </c>
      <c r="I109" s="3">
        <f t="shared" si="5"/>
        <v>5.1900000000000002E-2</v>
      </c>
      <c r="J109" s="56">
        <v>23.9</v>
      </c>
      <c r="K109" s="122">
        <f t="shared" si="6"/>
        <v>2.1714504018867271</v>
      </c>
      <c r="L109" s="119"/>
      <c r="M109" s="120"/>
      <c r="N109" s="120"/>
      <c r="O109" s="123"/>
      <c r="P109" s="123"/>
      <c r="Q109" s="2" t="s">
        <v>14</v>
      </c>
      <c r="R109" s="2" t="s">
        <v>15</v>
      </c>
    </row>
    <row r="110" spans="1:18" ht="20.25" x14ac:dyDescent="0.3">
      <c r="A110" s="31">
        <v>43269</v>
      </c>
      <c r="B110" s="2" t="s">
        <v>660</v>
      </c>
      <c r="C110" s="85" t="s">
        <v>649</v>
      </c>
      <c r="D110" s="9">
        <v>20.0001</v>
      </c>
      <c r="E110" s="65">
        <v>100</v>
      </c>
      <c r="F110" s="3">
        <v>2</v>
      </c>
      <c r="G110" s="3">
        <v>17.3</v>
      </c>
      <c r="H110" s="3">
        <v>0.01</v>
      </c>
      <c r="I110" s="3">
        <f t="shared" si="5"/>
        <v>5.1900000000000002E-2</v>
      </c>
      <c r="J110" s="56">
        <v>28.4</v>
      </c>
      <c r="K110" s="122">
        <f t="shared" si="6"/>
        <v>1.8274556514541371</v>
      </c>
      <c r="L110" s="119"/>
      <c r="M110" s="120"/>
      <c r="N110" s="120"/>
      <c r="O110" s="123"/>
      <c r="P110" s="123"/>
      <c r="Q110" s="2" t="s">
        <v>14</v>
      </c>
      <c r="R110" s="2" t="s">
        <v>15</v>
      </c>
    </row>
    <row r="111" spans="1:18" ht="20.25" x14ac:dyDescent="0.3">
      <c r="A111" s="31">
        <v>43276</v>
      </c>
      <c r="B111" s="2" t="s">
        <v>674</v>
      </c>
      <c r="C111" s="85" t="s">
        <v>673</v>
      </c>
      <c r="D111" s="9">
        <v>10.0009</v>
      </c>
      <c r="E111" s="65">
        <v>100</v>
      </c>
      <c r="F111" s="3">
        <v>8</v>
      </c>
      <c r="G111" s="3">
        <v>17.3</v>
      </c>
      <c r="H111" s="3">
        <v>0.01</v>
      </c>
      <c r="I111" s="3">
        <f t="shared" si="5"/>
        <v>5.1900000000000002E-2</v>
      </c>
      <c r="J111" s="56">
        <v>23.274999999999999</v>
      </c>
      <c r="K111" s="122">
        <f t="shared" si="6"/>
        <v>17.837277566608698</v>
      </c>
      <c r="L111" s="119"/>
      <c r="M111" s="120"/>
      <c r="N111" s="120"/>
      <c r="O111" s="3" t="s">
        <v>679</v>
      </c>
      <c r="P111" s="123"/>
      <c r="Q111" s="2" t="s">
        <v>14</v>
      </c>
      <c r="R111" s="2" t="s">
        <v>15</v>
      </c>
    </row>
    <row r="112" spans="1:18" ht="20.25" x14ac:dyDescent="0.3">
      <c r="A112" s="31">
        <v>43276</v>
      </c>
      <c r="B112" s="2" t="s">
        <v>676</v>
      </c>
      <c r="C112" s="85" t="s">
        <v>675</v>
      </c>
      <c r="D112" s="9">
        <v>10.000500000000001</v>
      </c>
      <c r="E112" s="65">
        <v>100</v>
      </c>
      <c r="F112" s="3">
        <v>4</v>
      </c>
      <c r="G112" s="3">
        <v>17.3</v>
      </c>
      <c r="H112" s="3">
        <v>0.01</v>
      </c>
      <c r="I112" s="3">
        <f t="shared" si="5"/>
        <v>5.1900000000000002E-2</v>
      </c>
      <c r="J112" s="56">
        <v>16.100000000000001</v>
      </c>
      <c r="K112" s="122">
        <f t="shared" si="6"/>
        <v>12.893765249625716</v>
      </c>
      <c r="L112" s="119"/>
      <c r="M112" s="120"/>
      <c r="N112" s="120"/>
      <c r="O112" s="3" t="s">
        <v>679</v>
      </c>
      <c r="P112" s="123"/>
      <c r="Q112" s="2" t="s">
        <v>14</v>
      </c>
      <c r="R112" s="2" t="s">
        <v>15</v>
      </c>
    </row>
    <row r="113" spans="1:18" ht="20.25" x14ac:dyDescent="0.3">
      <c r="A113" s="31">
        <v>43276</v>
      </c>
      <c r="B113" s="2" t="s">
        <v>678</v>
      </c>
      <c r="C113" s="85" t="s">
        <v>677</v>
      </c>
      <c r="D113" s="9">
        <v>20</v>
      </c>
      <c r="E113" s="65">
        <v>100</v>
      </c>
      <c r="F113" s="3">
        <v>2</v>
      </c>
      <c r="G113" s="3">
        <v>17.3</v>
      </c>
      <c r="H113" s="3">
        <v>0.01</v>
      </c>
      <c r="I113" s="3">
        <f t="shared" si="5"/>
        <v>5.1900000000000002E-2</v>
      </c>
      <c r="J113" s="56">
        <v>80.400000000000006</v>
      </c>
      <c r="K113" s="122">
        <f t="shared" si="6"/>
        <v>0.64552238805970152</v>
      </c>
      <c r="L113" s="119"/>
      <c r="M113" s="120"/>
      <c r="N113" s="120"/>
      <c r="O113" s="123"/>
      <c r="P113" s="123"/>
      <c r="Q113" s="2" t="s">
        <v>14</v>
      </c>
      <c r="R113" s="2" t="s">
        <v>15</v>
      </c>
    </row>
    <row r="114" spans="1:18" ht="20.25" x14ac:dyDescent="0.3">
      <c r="A114" s="31">
        <v>43284</v>
      </c>
      <c r="B114" s="2" t="s">
        <v>731</v>
      </c>
      <c r="C114" s="85" t="s">
        <v>723</v>
      </c>
      <c r="D114" s="9">
        <v>1.0007999999999999</v>
      </c>
      <c r="E114" s="65">
        <v>100</v>
      </c>
      <c r="F114" s="3">
        <v>2</v>
      </c>
      <c r="G114" s="3">
        <v>17.3</v>
      </c>
      <c r="H114" s="3">
        <v>0.01</v>
      </c>
      <c r="I114" s="3">
        <f t="shared" si="5"/>
        <v>5.1900000000000002E-2</v>
      </c>
      <c r="J114" s="56">
        <v>18.925000000000001</v>
      </c>
      <c r="K114" s="122">
        <f t="shared" si="6"/>
        <v>54.804241151332576</v>
      </c>
      <c r="L114" s="119"/>
      <c r="M114" s="120"/>
      <c r="N114" s="120"/>
      <c r="O114" s="123"/>
      <c r="P114" s="123"/>
      <c r="Q114" s="2" t="s">
        <v>14</v>
      </c>
      <c r="R114" s="2" t="s">
        <v>15</v>
      </c>
    </row>
    <row r="115" spans="1:18" ht="20.25" x14ac:dyDescent="0.3">
      <c r="A115" s="31">
        <v>43297</v>
      </c>
      <c r="B115" s="2" t="s">
        <v>780</v>
      </c>
      <c r="C115" s="85" t="s">
        <v>779</v>
      </c>
      <c r="D115" s="9">
        <v>25.000900000000001</v>
      </c>
      <c r="E115" s="65">
        <v>100</v>
      </c>
      <c r="F115" s="3">
        <v>2</v>
      </c>
      <c r="G115" s="3">
        <v>17.3</v>
      </c>
      <c r="H115" s="3">
        <v>0.01</v>
      </c>
      <c r="I115" s="3">
        <f t="shared" si="5"/>
        <v>5.1900000000000002E-2</v>
      </c>
      <c r="J115" s="56">
        <v>81.3</v>
      </c>
      <c r="K115" s="122">
        <f t="shared" si="6"/>
        <v>0.51068272243306256</v>
      </c>
      <c r="L115" s="119"/>
      <c r="M115" s="120"/>
      <c r="N115" s="120"/>
      <c r="O115" s="123"/>
      <c r="P115" s="123"/>
      <c r="Q115" s="2" t="s">
        <v>14</v>
      </c>
      <c r="R115" s="2" t="s">
        <v>15</v>
      </c>
    </row>
    <row r="116" spans="1:18" ht="20.25" x14ac:dyDescent="0.3">
      <c r="A116" s="31">
        <v>43297</v>
      </c>
      <c r="B116" s="2" t="s">
        <v>789</v>
      </c>
      <c r="C116" s="85" t="s">
        <v>781</v>
      </c>
      <c r="D116" s="9">
        <v>25.000499999999999</v>
      </c>
      <c r="E116" s="65">
        <v>100</v>
      </c>
      <c r="F116" s="3">
        <v>2</v>
      </c>
      <c r="G116" s="3">
        <v>17.3</v>
      </c>
      <c r="H116" s="3">
        <v>0.01</v>
      </c>
      <c r="I116" s="3">
        <f t="shared" si="5"/>
        <v>5.1900000000000002E-2</v>
      </c>
      <c r="J116" s="56">
        <v>83.2</v>
      </c>
      <c r="K116" s="122">
        <f t="shared" si="6"/>
        <v>0.49902848096884217</v>
      </c>
      <c r="L116" s="119"/>
      <c r="M116" s="120"/>
      <c r="N116" s="120"/>
      <c r="O116" s="123"/>
      <c r="P116" s="123"/>
      <c r="Q116" s="2" t="s">
        <v>14</v>
      </c>
      <c r="R116" s="2" t="s">
        <v>15</v>
      </c>
    </row>
    <row r="117" spans="1:18" ht="20.25" x14ac:dyDescent="0.3">
      <c r="A117" s="31">
        <v>43297</v>
      </c>
      <c r="B117" s="2" t="s">
        <v>784</v>
      </c>
      <c r="C117" s="85" t="s">
        <v>783</v>
      </c>
      <c r="D117" s="9">
        <v>25.000699999999998</v>
      </c>
      <c r="E117" s="65">
        <v>100</v>
      </c>
      <c r="F117" s="3">
        <v>2</v>
      </c>
      <c r="G117" s="3">
        <v>17.3</v>
      </c>
      <c r="H117" s="3">
        <v>0.01</v>
      </c>
      <c r="I117" s="3">
        <f t="shared" si="5"/>
        <v>5.1900000000000002E-2</v>
      </c>
      <c r="J117" s="56">
        <v>0</v>
      </c>
      <c r="K117" s="122" t="e">
        <f t="shared" si="6"/>
        <v>#DIV/0!</v>
      </c>
      <c r="L117" s="119"/>
      <c r="M117" s="120"/>
      <c r="N117" s="120"/>
      <c r="O117" s="3" t="s">
        <v>324</v>
      </c>
      <c r="P117" s="123"/>
      <c r="Q117" s="2" t="s">
        <v>14</v>
      </c>
      <c r="R117" s="2" t="s">
        <v>15</v>
      </c>
    </row>
    <row r="118" spans="1:18" ht="17.25" x14ac:dyDescent="0.3">
      <c r="A118" s="31">
        <v>43306</v>
      </c>
      <c r="B118" s="84" t="s">
        <v>2</v>
      </c>
      <c r="C118" s="129" t="s">
        <v>3</v>
      </c>
      <c r="D118" s="83">
        <v>3.0009000000000001</v>
      </c>
      <c r="E118" s="130">
        <v>100</v>
      </c>
      <c r="F118" s="83">
        <v>1</v>
      </c>
      <c r="G118" s="83">
        <v>17.399999999999999</v>
      </c>
      <c r="H118" s="83">
        <v>0.01</v>
      </c>
      <c r="I118" s="83">
        <v>5.2200000000000003E-2</v>
      </c>
      <c r="J118" s="83">
        <v>16.95</v>
      </c>
      <c r="K118" s="122">
        <f t="shared" si="6"/>
        <v>10.26240800326274</v>
      </c>
      <c r="L118" s="217">
        <f>+AVERAGE(K118:K121)</f>
        <v>10.286211900658483</v>
      </c>
      <c r="M118" s="220">
        <f>+STDEVA(K118:K121)</f>
        <v>0.11014713227876079</v>
      </c>
      <c r="N118" s="220">
        <f>+(M118/L118)*100</f>
        <v>1.0708230915572488</v>
      </c>
      <c r="O118" s="2" t="s">
        <v>10</v>
      </c>
      <c r="P118" s="2" t="s">
        <v>10</v>
      </c>
      <c r="Q118" s="2" t="s">
        <v>14</v>
      </c>
      <c r="R118" s="2" t="s">
        <v>15</v>
      </c>
    </row>
    <row r="119" spans="1:18" ht="17.25" x14ac:dyDescent="0.3">
      <c r="A119" s="31">
        <v>43306</v>
      </c>
      <c r="B119" s="84" t="s">
        <v>2</v>
      </c>
      <c r="C119" s="129" t="s">
        <v>3</v>
      </c>
      <c r="D119" s="83">
        <v>3.0009000000000001</v>
      </c>
      <c r="E119" s="130">
        <v>100</v>
      </c>
      <c r="F119" s="83">
        <v>1</v>
      </c>
      <c r="G119" s="83">
        <v>17.399999999999999</v>
      </c>
      <c r="H119" s="83">
        <v>0.01</v>
      </c>
      <c r="I119" s="83">
        <v>5.2200000000000003E-2</v>
      </c>
      <c r="J119" s="83">
        <v>16.649999999999999</v>
      </c>
      <c r="K119" s="122">
        <f t="shared" si="6"/>
        <v>10.44731625557378</v>
      </c>
      <c r="L119" s="218"/>
      <c r="M119" s="221"/>
      <c r="N119" s="221"/>
      <c r="O119" s="2" t="s">
        <v>10</v>
      </c>
      <c r="P119" s="2" t="s">
        <v>10</v>
      </c>
      <c r="Q119" s="2" t="s">
        <v>14</v>
      </c>
      <c r="R119" s="2" t="s">
        <v>15</v>
      </c>
    </row>
    <row r="120" spans="1:18" ht="17.25" x14ac:dyDescent="0.3">
      <c r="A120" s="31">
        <v>43306</v>
      </c>
      <c r="B120" s="84" t="s">
        <v>2</v>
      </c>
      <c r="C120" s="129" t="s">
        <v>3</v>
      </c>
      <c r="D120" s="83">
        <v>3.0007999999999999</v>
      </c>
      <c r="E120" s="130">
        <v>100</v>
      </c>
      <c r="F120" s="83">
        <v>1</v>
      </c>
      <c r="G120" s="83">
        <v>17.399999999999999</v>
      </c>
      <c r="H120" s="83">
        <v>0.01</v>
      </c>
      <c r="I120" s="83">
        <v>5.2200000000000003E-2</v>
      </c>
      <c r="J120" s="83">
        <v>17</v>
      </c>
      <c r="K120" s="122">
        <f t="shared" si="6"/>
        <v>10.232565433531452</v>
      </c>
      <c r="L120" s="218"/>
      <c r="M120" s="221"/>
      <c r="N120" s="221"/>
      <c r="O120" s="2" t="s">
        <v>10</v>
      </c>
      <c r="P120" s="2" t="s">
        <v>10</v>
      </c>
      <c r="Q120" s="2" t="s">
        <v>14</v>
      </c>
      <c r="R120" s="2" t="s">
        <v>15</v>
      </c>
    </row>
    <row r="121" spans="1:18" ht="17.25" x14ac:dyDescent="0.3">
      <c r="A121" s="31">
        <v>43306</v>
      </c>
      <c r="B121" s="84" t="s">
        <v>2</v>
      </c>
      <c r="C121" s="129" t="s">
        <v>3</v>
      </c>
      <c r="D121" s="83">
        <v>3.0007999999999999</v>
      </c>
      <c r="E121" s="130">
        <v>100</v>
      </c>
      <c r="F121" s="83">
        <v>1</v>
      </c>
      <c r="G121" s="83">
        <v>17.399999999999999</v>
      </c>
      <c r="H121" s="83">
        <v>0.01</v>
      </c>
      <c r="I121" s="83">
        <v>5.2200000000000003E-2</v>
      </c>
      <c r="J121" s="83">
        <v>17.05</v>
      </c>
      <c r="K121" s="122">
        <f t="shared" si="6"/>
        <v>10.202557910265963</v>
      </c>
      <c r="L121" s="219"/>
      <c r="M121" s="222"/>
      <c r="N121" s="222"/>
      <c r="O121" s="2" t="s">
        <v>10</v>
      </c>
      <c r="P121" s="2" t="s">
        <v>10</v>
      </c>
      <c r="Q121" s="2" t="s">
        <v>14</v>
      </c>
      <c r="R121" s="2" t="s">
        <v>15</v>
      </c>
    </row>
    <row r="122" spans="1:18" ht="17.25" x14ac:dyDescent="0.3">
      <c r="A122" s="31">
        <v>43306</v>
      </c>
      <c r="B122" s="84" t="s">
        <v>812</v>
      </c>
      <c r="C122" s="129" t="s">
        <v>813</v>
      </c>
      <c r="D122" s="83">
        <v>1.0008999999999999</v>
      </c>
      <c r="E122" s="130">
        <v>100</v>
      </c>
      <c r="F122" s="83">
        <v>2</v>
      </c>
      <c r="G122" s="83">
        <v>17.399999999999999</v>
      </c>
      <c r="H122" s="83">
        <v>0.01</v>
      </c>
      <c r="I122" s="83">
        <v>5.2200000000000003E-2</v>
      </c>
      <c r="J122" s="83">
        <v>18.899999999999999</v>
      </c>
      <c r="K122" s="122">
        <f t="shared" si="6"/>
        <v>55.188425655005744</v>
      </c>
      <c r="L122" s="200">
        <f>+AVERAGE(K122:K125)</f>
        <v>54.945878389259924</v>
      </c>
      <c r="M122" s="201">
        <f>+STDEVA(K122:K125)</f>
        <v>0.23606991497740795</v>
      </c>
      <c r="N122" s="201">
        <f>+(M122/L122)*100</f>
        <v>0.42964080636765595</v>
      </c>
      <c r="O122" s="2" t="s">
        <v>10</v>
      </c>
      <c r="P122" s="2" t="s">
        <v>10</v>
      </c>
      <c r="Q122" s="2" t="s">
        <v>14</v>
      </c>
      <c r="R122" s="2" t="s">
        <v>15</v>
      </c>
    </row>
    <row r="123" spans="1:18" ht="17.25" x14ac:dyDescent="0.3">
      <c r="A123" s="31">
        <v>43306</v>
      </c>
      <c r="B123" s="84" t="s">
        <v>812</v>
      </c>
      <c r="C123" s="129" t="s">
        <v>813</v>
      </c>
      <c r="D123" s="83">
        <v>1.0008999999999999</v>
      </c>
      <c r="E123" s="130">
        <v>100</v>
      </c>
      <c r="F123" s="83">
        <v>2</v>
      </c>
      <c r="G123" s="83">
        <v>17.399999999999999</v>
      </c>
      <c r="H123" s="83">
        <v>0.01</v>
      </c>
      <c r="I123" s="83">
        <v>5.2200000000000003E-2</v>
      </c>
      <c r="J123" s="83">
        <v>18.95</v>
      </c>
      <c r="K123" s="122">
        <f t="shared" si="6"/>
        <v>55.042809756179878</v>
      </c>
      <c r="L123" s="200"/>
      <c r="M123" s="201"/>
      <c r="N123" s="201"/>
      <c r="O123" s="2" t="s">
        <v>10</v>
      </c>
      <c r="P123" s="2" t="s">
        <v>10</v>
      </c>
      <c r="Q123" s="2" t="s">
        <v>14</v>
      </c>
      <c r="R123" s="2" t="s">
        <v>15</v>
      </c>
    </row>
    <row r="124" spans="1:18" ht="17.25" x14ac:dyDescent="0.3">
      <c r="A124" s="31">
        <v>43306</v>
      </c>
      <c r="B124" s="84" t="s">
        <v>812</v>
      </c>
      <c r="C124" s="129" t="s">
        <v>813</v>
      </c>
      <c r="D124" s="83">
        <v>1.0004999999999999</v>
      </c>
      <c r="E124" s="130">
        <v>100</v>
      </c>
      <c r="F124" s="83">
        <v>2</v>
      </c>
      <c r="G124" s="83">
        <v>17.399999999999999</v>
      </c>
      <c r="H124" s="83">
        <v>0.01</v>
      </c>
      <c r="I124" s="83">
        <v>5.2200000000000003E-2</v>
      </c>
      <c r="J124" s="83">
        <v>19</v>
      </c>
      <c r="K124" s="122">
        <f t="shared" si="6"/>
        <v>54.919908466819223</v>
      </c>
      <c r="L124" s="200"/>
      <c r="M124" s="201"/>
      <c r="N124" s="201"/>
      <c r="O124" s="2" t="s">
        <v>10</v>
      </c>
      <c r="P124" s="2" t="s">
        <v>10</v>
      </c>
      <c r="Q124" s="2" t="s">
        <v>14</v>
      </c>
      <c r="R124" s="2" t="s">
        <v>15</v>
      </c>
    </row>
    <row r="125" spans="1:18" ht="17.25" x14ac:dyDescent="0.3">
      <c r="A125" s="31">
        <v>43306</v>
      </c>
      <c r="B125" s="84" t="s">
        <v>812</v>
      </c>
      <c r="C125" s="129" t="s">
        <v>813</v>
      </c>
      <c r="D125" s="83">
        <v>1.0004999999999999</v>
      </c>
      <c r="E125" s="130">
        <v>100</v>
      </c>
      <c r="F125" s="83">
        <v>2</v>
      </c>
      <c r="G125" s="83">
        <v>17.399999999999999</v>
      </c>
      <c r="H125" s="83">
        <v>0.01</v>
      </c>
      <c r="I125" s="83">
        <v>5.2200000000000003E-2</v>
      </c>
      <c r="J125" s="83">
        <v>19.100000000000001</v>
      </c>
      <c r="K125" s="122">
        <f t="shared" si="6"/>
        <v>54.632369679034831</v>
      </c>
      <c r="L125" s="200"/>
      <c r="M125" s="201"/>
      <c r="N125" s="201"/>
      <c r="O125" s="2" t="s">
        <v>10</v>
      </c>
      <c r="P125" s="2" t="s">
        <v>10</v>
      </c>
      <c r="Q125" s="2" t="s">
        <v>14</v>
      </c>
      <c r="R125" s="2" t="s">
        <v>15</v>
      </c>
    </row>
    <row r="126" spans="1:18" ht="17.25" x14ac:dyDescent="0.3">
      <c r="A126" s="31">
        <v>43311</v>
      </c>
      <c r="B126" s="19" t="s">
        <v>824</v>
      </c>
      <c r="C126" s="91" t="s">
        <v>821</v>
      </c>
      <c r="D126" s="3">
        <v>5.0008999999999997</v>
      </c>
      <c r="E126" s="130">
        <v>100</v>
      </c>
      <c r="F126" s="110">
        <v>2</v>
      </c>
      <c r="G126" s="83">
        <v>17.399999999999999</v>
      </c>
      <c r="H126" s="83">
        <v>0.01</v>
      </c>
      <c r="I126" s="83">
        <v>5.2200000000000003E-2</v>
      </c>
      <c r="J126" s="83">
        <v>15.3</v>
      </c>
      <c r="K126" s="122">
        <f t="shared" si="6"/>
        <v>13.644602795026309</v>
      </c>
      <c r="L126" s="205">
        <f>+AVERAGE(K126:K127)</f>
        <v>13.578366859128122</v>
      </c>
      <c r="M126" s="223">
        <f>+STDEVA(K126:K127)</f>
        <v>9.3671758863690044E-2</v>
      </c>
      <c r="N126" s="223">
        <f>+(M126/L126)*100</f>
        <v>0.68986027432834285</v>
      </c>
      <c r="O126" s="2" t="s">
        <v>10</v>
      </c>
      <c r="P126" s="2" t="s">
        <v>10</v>
      </c>
      <c r="Q126" s="2" t="s">
        <v>14</v>
      </c>
      <c r="R126" s="2" t="s">
        <v>15</v>
      </c>
    </row>
    <row r="127" spans="1:18" ht="17.25" x14ac:dyDescent="0.3">
      <c r="A127" s="31">
        <v>43311</v>
      </c>
      <c r="B127" s="19" t="s">
        <v>824</v>
      </c>
      <c r="C127" s="91" t="s">
        <v>821</v>
      </c>
      <c r="D127" s="3">
        <v>5.0008999999999997</v>
      </c>
      <c r="E127" s="130">
        <v>100</v>
      </c>
      <c r="F127" s="110">
        <v>2</v>
      </c>
      <c r="G127" s="83">
        <v>17.399999999999999</v>
      </c>
      <c r="H127" s="83">
        <v>0.01</v>
      </c>
      <c r="I127" s="83">
        <v>5.2200000000000003E-2</v>
      </c>
      <c r="J127" s="83">
        <v>15.45</v>
      </c>
      <c r="K127" s="122">
        <f t="shared" si="6"/>
        <v>13.512130923229936</v>
      </c>
      <c r="L127" s="206"/>
      <c r="M127" s="224"/>
      <c r="N127" s="224"/>
      <c r="O127" s="2" t="s">
        <v>10</v>
      </c>
      <c r="P127" s="2" t="s">
        <v>10</v>
      </c>
      <c r="Q127" s="2" t="s">
        <v>14</v>
      </c>
      <c r="R127" s="2" t="s">
        <v>15</v>
      </c>
    </row>
    <row r="128" spans="1:18" ht="17.25" x14ac:dyDescent="0.3">
      <c r="A128" s="31">
        <v>43311</v>
      </c>
      <c r="B128" s="19" t="s">
        <v>849</v>
      </c>
      <c r="C128" s="91" t="s">
        <v>848</v>
      </c>
      <c r="D128" s="3">
        <v>5.0003000000000002</v>
      </c>
      <c r="E128" s="130">
        <v>100</v>
      </c>
      <c r="F128" s="15">
        <v>2</v>
      </c>
      <c r="G128" s="83">
        <v>17.399999999999999</v>
      </c>
      <c r="H128" s="83">
        <v>0.01</v>
      </c>
      <c r="I128" s="83">
        <v>5.2200000000000003E-2</v>
      </c>
      <c r="J128" s="83">
        <v>24.65</v>
      </c>
      <c r="K128" s="122">
        <f t="shared" si="6"/>
        <v>8.470080030492289</v>
      </c>
      <c r="L128" s="205">
        <f>+AVERAGE(K128:K129)</f>
        <v>8.4615070749958399</v>
      </c>
      <c r="M128" s="223">
        <f>+STDEVA(K128:K129)</f>
        <v>1.212398993270054E-2</v>
      </c>
      <c r="N128" s="223">
        <f>+(M128/L128)*100</f>
        <v>0.14328404887265903</v>
      </c>
      <c r="O128" s="2" t="s">
        <v>10</v>
      </c>
      <c r="P128" s="2" t="s">
        <v>10</v>
      </c>
      <c r="Q128" s="2" t="s">
        <v>14</v>
      </c>
      <c r="R128" s="2" t="s">
        <v>15</v>
      </c>
    </row>
    <row r="129" spans="1:18" ht="17.25" x14ac:dyDescent="0.3">
      <c r="A129" s="31">
        <v>43311</v>
      </c>
      <c r="B129" s="19" t="s">
        <v>849</v>
      </c>
      <c r="C129" s="91" t="s">
        <v>848</v>
      </c>
      <c r="D129" s="3">
        <v>5.0003000000000002</v>
      </c>
      <c r="E129" s="130">
        <v>100</v>
      </c>
      <c r="F129" s="15">
        <v>2</v>
      </c>
      <c r="G129" s="83">
        <v>17.399999999999999</v>
      </c>
      <c r="H129" s="83">
        <v>0.01</v>
      </c>
      <c r="I129" s="83">
        <v>5.2200000000000003E-2</v>
      </c>
      <c r="J129" s="83">
        <v>24.7</v>
      </c>
      <c r="K129" s="122">
        <f t="shared" si="6"/>
        <v>8.452934119499389</v>
      </c>
      <c r="L129" s="206"/>
      <c r="M129" s="224"/>
      <c r="N129" s="224"/>
      <c r="O129" s="2" t="s">
        <v>10</v>
      </c>
      <c r="P129" s="2" t="s">
        <v>10</v>
      </c>
      <c r="Q129" s="2" t="s">
        <v>14</v>
      </c>
      <c r="R129" s="2" t="s">
        <v>15</v>
      </c>
    </row>
    <row r="130" spans="1:18" ht="17.25" x14ac:dyDescent="0.3">
      <c r="A130" s="31">
        <v>43311</v>
      </c>
      <c r="B130" s="19" t="s">
        <v>851</v>
      </c>
      <c r="C130" s="91" t="s">
        <v>850</v>
      </c>
      <c r="D130" s="3">
        <v>5.0008999999999997</v>
      </c>
      <c r="E130" s="130">
        <v>100</v>
      </c>
      <c r="F130" s="15">
        <v>4</v>
      </c>
      <c r="G130" s="83">
        <v>17.399999999999999</v>
      </c>
      <c r="H130" s="83">
        <v>0.01</v>
      </c>
      <c r="I130" s="83">
        <v>5.2200000000000003E-2</v>
      </c>
      <c r="J130" s="83">
        <v>24.95</v>
      </c>
      <c r="K130" s="122">
        <f t="shared" si="6"/>
        <v>16.734462746605413</v>
      </c>
      <c r="L130" s="205">
        <f>+AVERAGE(K130:K131)</f>
        <v>16.717728283858808</v>
      </c>
      <c r="M130" s="223">
        <f>+STDEVA(K130:K131)</f>
        <v>2.366610417527619E-2</v>
      </c>
      <c r="N130" s="223">
        <f>+(M130/L130)*100</f>
        <v>0.14156291915646299</v>
      </c>
      <c r="O130" s="2" t="s">
        <v>10</v>
      </c>
      <c r="P130" s="2" t="s">
        <v>10</v>
      </c>
      <c r="Q130" s="2" t="s">
        <v>14</v>
      </c>
      <c r="R130" s="2" t="s">
        <v>15</v>
      </c>
    </row>
    <row r="131" spans="1:18" ht="17.25" x14ac:dyDescent="0.3">
      <c r="A131" s="31">
        <v>43311</v>
      </c>
      <c r="B131" s="19" t="s">
        <v>851</v>
      </c>
      <c r="C131" s="91" t="s">
        <v>850</v>
      </c>
      <c r="D131" s="3">
        <v>5.0008999999999997</v>
      </c>
      <c r="E131" s="130">
        <v>100</v>
      </c>
      <c r="F131" s="15">
        <v>4</v>
      </c>
      <c r="G131" s="83">
        <v>17.399999999999999</v>
      </c>
      <c r="H131" s="83">
        <v>0.01</v>
      </c>
      <c r="I131" s="83">
        <v>5.2200000000000003E-2</v>
      </c>
      <c r="J131" s="83">
        <v>25</v>
      </c>
      <c r="K131" s="122">
        <f t="shared" si="6"/>
        <v>16.700993821112203</v>
      </c>
      <c r="L131" s="206"/>
      <c r="M131" s="224"/>
      <c r="N131" s="224"/>
      <c r="O131" s="2" t="s">
        <v>10</v>
      </c>
      <c r="P131" s="2" t="s">
        <v>10</v>
      </c>
      <c r="Q131" s="2" t="s">
        <v>14</v>
      </c>
      <c r="R131" s="2" t="s">
        <v>15</v>
      </c>
    </row>
    <row r="132" spans="1:18" ht="17.25" x14ac:dyDescent="0.3">
      <c r="A132" s="31">
        <v>43311</v>
      </c>
      <c r="B132" s="19" t="s">
        <v>853</v>
      </c>
      <c r="C132" s="91" t="s">
        <v>852</v>
      </c>
      <c r="D132" s="3">
        <v>5.0008999999999997</v>
      </c>
      <c r="E132" s="130">
        <v>100</v>
      </c>
      <c r="F132" s="15">
        <v>4</v>
      </c>
      <c r="G132" s="83">
        <v>17.399999999999999</v>
      </c>
      <c r="H132" s="83">
        <v>0.01</v>
      </c>
      <c r="I132" s="83">
        <v>5.2200000000000003E-2</v>
      </c>
      <c r="J132" s="83">
        <v>18.600000000000001</v>
      </c>
      <c r="K132" s="122">
        <f t="shared" si="6"/>
        <v>22.447572340204573</v>
      </c>
      <c r="L132" s="205">
        <f>+AVERAGE(K132:K133)</f>
        <v>22.4778251331159</v>
      </c>
      <c r="M132" s="223">
        <f>+STDEVA(K132:K133)</f>
        <v>4.278391003486294E-2</v>
      </c>
      <c r="N132" s="223">
        <f>+(M132/L132)*100</f>
        <v>0.19033829910808719</v>
      </c>
      <c r="O132" s="2" t="s">
        <v>10</v>
      </c>
      <c r="P132" s="2" t="s">
        <v>10</v>
      </c>
      <c r="Q132" s="106" t="s">
        <v>14</v>
      </c>
      <c r="R132" s="2" t="s">
        <v>15</v>
      </c>
    </row>
    <row r="133" spans="1:18" ht="17.25" x14ac:dyDescent="0.3">
      <c r="A133" s="31">
        <v>43311</v>
      </c>
      <c r="B133" s="19" t="s">
        <v>853</v>
      </c>
      <c r="C133" s="91" t="s">
        <v>852</v>
      </c>
      <c r="D133" s="3">
        <v>5.0008999999999997</v>
      </c>
      <c r="E133" s="130">
        <v>100</v>
      </c>
      <c r="F133" s="15">
        <v>4</v>
      </c>
      <c r="G133" s="83">
        <v>17.399999999999999</v>
      </c>
      <c r="H133" s="83">
        <v>0.01</v>
      </c>
      <c r="I133" s="83">
        <v>5.2200000000000003E-2</v>
      </c>
      <c r="J133" s="83">
        <v>18.55</v>
      </c>
      <c r="K133" s="122">
        <f t="shared" si="6"/>
        <v>22.508077926027227</v>
      </c>
      <c r="L133" s="206"/>
      <c r="M133" s="224"/>
      <c r="N133" s="224"/>
      <c r="O133" s="2" t="s">
        <v>10</v>
      </c>
      <c r="P133" s="2" t="s">
        <v>10</v>
      </c>
      <c r="Q133" s="106" t="s">
        <v>14</v>
      </c>
      <c r="R133" s="2" t="s">
        <v>15</v>
      </c>
    </row>
    <row r="134" spans="1:18" ht="17.25" x14ac:dyDescent="0.3">
      <c r="A134" s="31">
        <v>43311</v>
      </c>
      <c r="B134" s="19" t="s">
        <v>855</v>
      </c>
      <c r="C134" s="91" t="s">
        <v>854</v>
      </c>
      <c r="D134" s="3">
        <v>5.0008999999999997</v>
      </c>
      <c r="E134" s="130">
        <v>100</v>
      </c>
      <c r="F134" s="15">
        <v>2</v>
      </c>
      <c r="G134" s="83">
        <v>17.399999999999999</v>
      </c>
      <c r="H134" s="83">
        <v>0.01</v>
      </c>
      <c r="I134" s="83">
        <v>5.2200000000000003E-2</v>
      </c>
      <c r="J134" s="83">
        <v>40.5</v>
      </c>
      <c r="K134" s="122">
        <f t="shared" si="6"/>
        <v>5.1546277225654951</v>
      </c>
      <c r="L134" s="205">
        <f>+AVERAGE(K134:K135)</f>
        <v>5.1514497769905478</v>
      </c>
      <c r="M134" s="223">
        <f>+STDEVA(K134:K135)</f>
        <v>4.4942937325745443E-3</v>
      </c>
      <c r="N134" s="223">
        <f>+(M134/L134)*100</f>
        <v>8.7243279603515606E-2</v>
      </c>
      <c r="O134" s="2" t="s">
        <v>10</v>
      </c>
      <c r="P134" s="2" t="s">
        <v>10</v>
      </c>
      <c r="Q134" s="106" t="s">
        <v>14</v>
      </c>
      <c r="R134" s="2" t="s">
        <v>15</v>
      </c>
    </row>
    <row r="135" spans="1:18" ht="17.25" x14ac:dyDescent="0.3">
      <c r="A135" s="31">
        <v>43311</v>
      </c>
      <c r="B135" s="19" t="s">
        <v>855</v>
      </c>
      <c r="C135" s="91" t="s">
        <v>854</v>
      </c>
      <c r="D135" s="3">
        <v>5.0008999999999997</v>
      </c>
      <c r="E135" s="130">
        <v>100</v>
      </c>
      <c r="F135" s="15">
        <v>2</v>
      </c>
      <c r="G135" s="83">
        <v>17.399999999999999</v>
      </c>
      <c r="H135" s="83">
        <v>0.01</v>
      </c>
      <c r="I135" s="83">
        <v>5.2200000000000003E-2</v>
      </c>
      <c r="J135" s="83">
        <v>40.549999999999997</v>
      </c>
      <c r="K135" s="122">
        <f t="shared" si="6"/>
        <v>5.1482718314155997</v>
      </c>
      <c r="L135" s="206"/>
      <c r="M135" s="224"/>
      <c r="N135" s="224"/>
      <c r="O135" s="2" t="s">
        <v>10</v>
      </c>
      <c r="P135" s="2" t="s">
        <v>10</v>
      </c>
      <c r="Q135" s="106" t="s">
        <v>14</v>
      </c>
      <c r="R135" s="2" t="s">
        <v>15</v>
      </c>
    </row>
    <row r="136" spans="1:18" ht="17.25" x14ac:dyDescent="0.3">
      <c r="A136" s="31">
        <v>43311</v>
      </c>
      <c r="B136" s="19" t="s">
        <v>857</v>
      </c>
      <c r="C136" s="91" t="s">
        <v>856</v>
      </c>
      <c r="D136" s="3">
        <v>5.0003000000000002</v>
      </c>
      <c r="E136" s="130">
        <v>100</v>
      </c>
      <c r="F136" s="15">
        <v>2</v>
      </c>
      <c r="G136" s="83">
        <v>17.399999999999999</v>
      </c>
      <c r="H136" s="83">
        <v>0.01</v>
      </c>
      <c r="I136" s="83">
        <v>5.2200000000000003E-2</v>
      </c>
      <c r="J136" s="83">
        <v>17.45</v>
      </c>
      <c r="K136" s="122">
        <f t="shared" si="6"/>
        <v>11.964898151956154</v>
      </c>
      <c r="L136" s="205">
        <f>+AVERAGE(K136:K137)</f>
        <v>11.947805440310503</v>
      </c>
      <c r="M136" s="223">
        <f>+STDEVA(K136:K137)</f>
        <v>2.4172744627013073E-2</v>
      </c>
      <c r="N136" s="223">
        <f>+(M136/L136)*100</f>
        <v>0.202319536820185</v>
      </c>
      <c r="O136" s="2" t="s">
        <v>10</v>
      </c>
      <c r="P136" s="2" t="s">
        <v>10</v>
      </c>
      <c r="Q136" s="106" t="s">
        <v>14</v>
      </c>
      <c r="R136" s="2" t="s">
        <v>15</v>
      </c>
    </row>
    <row r="137" spans="1:18" ht="17.25" x14ac:dyDescent="0.3">
      <c r="A137" s="31">
        <v>43311</v>
      </c>
      <c r="B137" s="19" t="s">
        <v>857</v>
      </c>
      <c r="C137" s="91" t="s">
        <v>856</v>
      </c>
      <c r="D137" s="3">
        <v>5.0003000000000002</v>
      </c>
      <c r="E137" s="130">
        <v>100</v>
      </c>
      <c r="F137" s="15">
        <v>2</v>
      </c>
      <c r="G137" s="83">
        <v>17.399999999999999</v>
      </c>
      <c r="H137" s="83">
        <v>0.01</v>
      </c>
      <c r="I137" s="83">
        <v>5.2200000000000003E-2</v>
      </c>
      <c r="J137" s="83">
        <v>17.5</v>
      </c>
      <c r="K137" s="122">
        <f t="shared" si="6"/>
        <v>11.930712728664851</v>
      </c>
      <c r="L137" s="206"/>
      <c r="M137" s="224"/>
      <c r="N137" s="224"/>
      <c r="O137" s="2" t="s">
        <v>10</v>
      </c>
      <c r="P137" s="2" t="s">
        <v>10</v>
      </c>
      <c r="Q137" s="106" t="s">
        <v>14</v>
      </c>
      <c r="R137" s="2" t="s">
        <v>15</v>
      </c>
    </row>
    <row r="138" spans="1:18" ht="17.25" x14ac:dyDescent="0.3">
      <c r="A138" s="31">
        <v>43311</v>
      </c>
      <c r="B138" s="19" t="s">
        <v>861</v>
      </c>
      <c r="C138" s="91" t="s">
        <v>858</v>
      </c>
      <c r="D138" s="3">
        <v>5.0008999999999997</v>
      </c>
      <c r="E138" s="130">
        <v>100</v>
      </c>
      <c r="F138" s="15">
        <v>4</v>
      </c>
      <c r="G138" s="83">
        <v>17.399999999999999</v>
      </c>
      <c r="H138" s="83">
        <v>0.01</v>
      </c>
      <c r="I138" s="83">
        <v>5.2200000000000003E-2</v>
      </c>
      <c r="J138" s="83">
        <v>17.3</v>
      </c>
      <c r="K138" s="122">
        <f t="shared" si="6"/>
        <v>24.134384134555205</v>
      </c>
      <c r="L138" s="205">
        <f>+AVERAGE(K138:K139)</f>
        <v>24.099608364908875</v>
      </c>
      <c r="M138" s="223">
        <f>+STDEVA(K138:K139)</f>
        <v>4.9180365075805643E-2</v>
      </c>
      <c r="N138" s="223">
        <f>+(M138/L138)*100</f>
        <v>0.2040712211216533</v>
      </c>
      <c r="O138" s="2" t="s">
        <v>10</v>
      </c>
      <c r="P138" s="2" t="s">
        <v>10</v>
      </c>
      <c r="Q138" s="106" t="s">
        <v>14</v>
      </c>
      <c r="R138" s="2" t="s">
        <v>15</v>
      </c>
    </row>
    <row r="139" spans="1:18" ht="17.25" x14ac:dyDescent="0.3">
      <c r="A139" s="31">
        <v>43311</v>
      </c>
      <c r="B139" s="19" t="s">
        <v>861</v>
      </c>
      <c r="C139" s="91" t="s">
        <v>858</v>
      </c>
      <c r="D139" s="3">
        <v>5.0008999999999997</v>
      </c>
      <c r="E139" s="130">
        <v>100</v>
      </c>
      <c r="F139" s="15">
        <v>4</v>
      </c>
      <c r="G139" s="83">
        <v>17.399999999999999</v>
      </c>
      <c r="H139" s="83">
        <v>0.01</v>
      </c>
      <c r="I139" s="83">
        <v>5.2200000000000003E-2</v>
      </c>
      <c r="J139" s="83">
        <v>17.350000000000001</v>
      </c>
      <c r="K139" s="122">
        <f t="shared" si="6"/>
        <v>24.064832595262541</v>
      </c>
      <c r="L139" s="206"/>
      <c r="M139" s="224"/>
      <c r="N139" s="224"/>
      <c r="O139" s="2" t="s">
        <v>10</v>
      </c>
      <c r="P139" s="2" t="s">
        <v>10</v>
      </c>
      <c r="Q139" s="106" t="s">
        <v>14</v>
      </c>
      <c r="R139" s="2" t="s">
        <v>15</v>
      </c>
    </row>
    <row r="140" spans="1:18" ht="17.25" x14ac:dyDescent="0.3">
      <c r="A140" s="31">
        <v>43311</v>
      </c>
      <c r="B140" s="19" t="s">
        <v>859</v>
      </c>
      <c r="C140" s="91" t="s">
        <v>860</v>
      </c>
      <c r="D140" s="3">
        <v>5.0003000000000002</v>
      </c>
      <c r="E140" s="130">
        <v>100</v>
      </c>
      <c r="F140" s="15">
        <v>4</v>
      </c>
      <c r="G140" s="83">
        <v>17.399999999999999</v>
      </c>
      <c r="H140" s="83">
        <v>0.01</v>
      </c>
      <c r="I140" s="83">
        <v>5.2200000000000003E-2</v>
      </c>
      <c r="J140" s="83">
        <v>15.4</v>
      </c>
      <c r="K140" s="122">
        <f t="shared" si="6"/>
        <v>27.115256201511023</v>
      </c>
      <c r="L140" s="205">
        <f>+AVERAGE(K140:K141)</f>
        <v>27.071380382414731</v>
      </c>
      <c r="M140" s="223">
        <f>+STDEVA(K140:K141)</f>
        <v>6.2049778426208367E-2</v>
      </c>
      <c r="N140" s="223">
        <f>+(M140/L140)*100</f>
        <v>0.22920803279952146</v>
      </c>
      <c r="O140" s="2" t="s">
        <v>10</v>
      </c>
      <c r="P140" s="201">
        <f>+AVERAGE(L140:L143)</f>
        <v>27.159432635172646</v>
      </c>
      <c r="Q140" s="106" t="s">
        <v>14</v>
      </c>
      <c r="R140" s="2" t="s">
        <v>15</v>
      </c>
    </row>
    <row r="141" spans="1:18" ht="17.25" x14ac:dyDescent="0.3">
      <c r="A141" s="31">
        <v>43311</v>
      </c>
      <c r="B141" s="19" t="s">
        <v>859</v>
      </c>
      <c r="C141" s="91" t="s">
        <v>860</v>
      </c>
      <c r="D141" s="3">
        <v>5.0003000000000002</v>
      </c>
      <c r="E141" s="130">
        <v>100</v>
      </c>
      <c r="F141" s="15">
        <v>4</v>
      </c>
      <c r="G141" s="83">
        <v>17.399999999999999</v>
      </c>
      <c r="H141" s="83">
        <v>0.01</v>
      </c>
      <c r="I141" s="83">
        <v>5.2200000000000003E-2</v>
      </c>
      <c r="J141" s="83">
        <v>15.45</v>
      </c>
      <c r="K141" s="122">
        <f t="shared" si="6"/>
        <v>27.027504563318434</v>
      </c>
      <c r="L141" s="206"/>
      <c r="M141" s="224"/>
      <c r="N141" s="224"/>
      <c r="O141" s="2" t="s">
        <v>10</v>
      </c>
      <c r="P141" s="225"/>
      <c r="Q141" s="106" t="s">
        <v>14</v>
      </c>
      <c r="R141" s="2" t="s">
        <v>15</v>
      </c>
    </row>
    <row r="142" spans="1:18" s="14" customFormat="1" ht="17.25" x14ac:dyDescent="0.3">
      <c r="A142" s="31">
        <v>43311</v>
      </c>
      <c r="B142" s="19" t="s">
        <v>859</v>
      </c>
      <c r="C142" s="91" t="s">
        <v>860</v>
      </c>
      <c r="D142" s="3">
        <v>5.0004</v>
      </c>
      <c r="E142" s="130">
        <v>100</v>
      </c>
      <c r="F142" s="15">
        <v>4</v>
      </c>
      <c r="G142" s="83">
        <v>17.399999999999999</v>
      </c>
      <c r="H142" s="83">
        <v>0.01</v>
      </c>
      <c r="I142" s="83">
        <v>5.2200000000000003E-2</v>
      </c>
      <c r="J142" s="83">
        <v>15.35</v>
      </c>
      <c r="K142" s="122">
        <f t="shared" si="6"/>
        <v>27.203035483545683</v>
      </c>
      <c r="L142" s="205">
        <f>+AVERAGE(K142:K143)</f>
        <v>27.247484887930561</v>
      </c>
      <c r="M142" s="223">
        <f t="shared" ref="M142:M147" si="7">+STDEVA(K142:K143)</f>
        <v>6.2860950520500253E-2</v>
      </c>
      <c r="N142" s="223">
        <f>+(M142/L142)*100</f>
        <v>0.23070368064813532</v>
      </c>
      <c r="O142" s="202" t="s">
        <v>863</v>
      </c>
      <c r="P142" s="225"/>
      <c r="Q142" s="65" t="s">
        <v>14</v>
      </c>
      <c r="R142" s="3" t="s">
        <v>15</v>
      </c>
    </row>
    <row r="143" spans="1:18" s="14" customFormat="1" ht="17.25" x14ac:dyDescent="0.3">
      <c r="A143" s="31">
        <v>43311</v>
      </c>
      <c r="B143" s="19" t="s">
        <v>859</v>
      </c>
      <c r="C143" s="91" t="s">
        <v>860</v>
      </c>
      <c r="D143" s="3">
        <v>5.0004</v>
      </c>
      <c r="E143" s="130">
        <v>100</v>
      </c>
      <c r="F143" s="15">
        <v>4</v>
      </c>
      <c r="G143" s="83">
        <v>17.399999999999999</v>
      </c>
      <c r="H143" s="83">
        <v>0.01</v>
      </c>
      <c r="I143" s="83">
        <v>5.2200000000000003E-2</v>
      </c>
      <c r="J143" s="83">
        <v>15.3</v>
      </c>
      <c r="K143" s="122">
        <f t="shared" si="6"/>
        <v>27.291934292315439</v>
      </c>
      <c r="L143" s="206"/>
      <c r="M143" s="224"/>
      <c r="N143" s="224"/>
      <c r="O143" s="202"/>
      <c r="P143" s="225"/>
      <c r="Q143" s="65" t="s">
        <v>14</v>
      </c>
      <c r="R143" s="3" t="s">
        <v>15</v>
      </c>
    </row>
    <row r="144" spans="1:18" s="14" customFormat="1" ht="20.25" x14ac:dyDescent="0.3">
      <c r="A144" s="31">
        <v>43311</v>
      </c>
      <c r="B144" s="8" t="s">
        <v>862</v>
      </c>
      <c r="C144" s="85" t="s">
        <v>10</v>
      </c>
      <c r="D144" s="3" t="s">
        <v>10</v>
      </c>
      <c r="E144" s="130">
        <v>100</v>
      </c>
      <c r="F144" s="3">
        <v>2</v>
      </c>
      <c r="G144" s="3">
        <v>17.399999999999999</v>
      </c>
      <c r="H144" s="3">
        <v>0.01</v>
      </c>
      <c r="I144" s="83">
        <v>5.2200000000000003E-2</v>
      </c>
      <c r="J144" s="3" t="s">
        <v>324</v>
      </c>
      <c r="K144" s="122" t="e">
        <f t="shared" si="6"/>
        <v>#VALUE!</v>
      </c>
      <c r="L144" s="131" t="s">
        <v>10</v>
      </c>
      <c r="M144" s="3" t="s">
        <v>10</v>
      </c>
      <c r="N144" s="3" t="s">
        <v>10</v>
      </c>
      <c r="O144" s="3" t="s">
        <v>324</v>
      </c>
      <c r="P144" s="3"/>
      <c r="Q144" s="65" t="s">
        <v>14</v>
      </c>
      <c r="R144" s="3" t="s">
        <v>15</v>
      </c>
    </row>
    <row r="145" spans="1:18" s="14" customFormat="1" ht="17.25" x14ac:dyDescent="0.3">
      <c r="A145" s="31">
        <v>43312</v>
      </c>
      <c r="B145" s="8" t="s">
        <v>872</v>
      </c>
      <c r="C145" s="85" t="s">
        <v>874</v>
      </c>
      <c r="D145" s="3">
        <v>4.0004999999999997</v>
      </c>
      <c r="E145" s="65">
        <v>100</v>
      </c>
      <c r="F145" s="3">
        <v>2</v>
      </c>
      <c r="G145" s="3">
        <v>17.399999999999999</v>
      </c>
      <c r="H145" s="3">
        <v>0.01</v>
      </c>
      <c r="I145" s="83">
        <v>5.2200000000000003E-2</v>
      </c>
      <c r="J145" s="3">
        <v>17.649999999999999</v>
      </c>
      <c r="K145" s="122">
        <f t="shared" si="6"/>
        <v>14.785687199864892</v>
      </c>
      <c r="L145" s="226">
        <f>+AVERAGE(K145:K146)</f>
        <v>14.849054430721456</v>
      </c>
      <c r="M145" s="223">
        <f t="shared" si="7"/>
        <v>8.9614797287377854E-2</v>
      </c>
      <c r="N145" s="223">
        <f>+(M145/L145)*100</f>
        <v>0.60350507640387052</v>
      </c>
      <c r="O145" s="3"/>
      <c r="P145" s="201">
        <f>+AVERAGE(L145:L148)</f>
        <v>14.806190871695375</v>
      </c>
      <c r="Q145" s="65" t="s">
        <v>14</v>
      </c>
      <c r="R145" s="3" t="s">
        <v>15</v>
      </c>
    </row>
    <row r="146" spans="1:18" s="14" customFormat="1" ht="17.25" x14ac:dyDescent="0.3">
      <c r="A146" s="31">
        <v>43312</v>
      </c>
      <c r="B146" s="8" t="s">
        <v>872</v>
      </c>
      <c r="C146" s="85" t="s">
        <v>874</v>
      </c>
      <c r="D146" s="3">
        <v>4.0004999999999997</v>
      </c>
      <c r="E146" s="65">
        <v>100</v>
      </c>
      <c r="F146" s="3">
        <v>2</v>
      </c>
      <c r="G146" s="3">
        <v>17.399999999999999</v>
      </c>
      <c r="H146" s="3">
        <v>0.01</v>
      </c>
      <c r="I146" s="83">
        <v>5.2200000000000003E-2</v>
      </c>
      <c r="J146" s="3">
        <v>17.5</v>
      </c>
      <c r="K146" s="122">
        <f t="shared" si="6"/>
        <v>14.912421661578017</v>
      </c>
      <c r="L146" s="206"/>
      <c r="M146" s="224"/>
      <c r="N146" s="224"/>
      <c r="O146" s="3"/>
      <c r="P146" s="225"/>
      <c r="Q146" s="65" t="s">
        <v>14</v>
      </c>
      <c r="R146" s="3" t="s">
        <v>15</v>
      </c>
    </row>
    <row r="147" spans="1:18" s="14" customFormat="1" ht="17.25" x14ac:dyDescent="0.3">
      <c r="A147" s="31">
        <v>43312</v>
      </c>
      <c r="B147" s="8" t="s">
        <v>873</v>
      </c>
      <c r="C147" s="85" t="s">
        <v>875</v>
      </c>
      <c r="D147" s="3">
        <v>4.0008999999999997</v>
      </c>
      <c r="E147" s="65">
        <v>100</v>
      </c>
      <c r="F147" s="3">
        <v>2</v>
      </c>
      <c r="G147" s="3">
        <v>17.399999999999999</v>
      </c>
      <c r="H147" s="3">
        <v>0.01</v>
      </c>
      <c r="I147" s="83">
        <v>5.2200000000000003E-2</v>
      </c>
      <c r="J147" s="3">
        <v>17.7</v>
      </c>
      <c r="K147" s="122">
        <f t="shared" si="6"/>
        <v>14.742445661590553</v>
      </c>
      <c r="L147" s="226">
        <f>+AVERAGE(K147:K148)</f>
        <v>14.763327312669293</v>
      </c>
      <c r="M147" s="223">
        <f t="shared" si="7"/>
        <v>2.9531114160296194E-2</v>
      </c>
      <c r="N147" s="223">
        <f>+(M147/L147)*100</f>
        <v>0.20003020684201572</v>
      </c>
      <c r="O147" s="202" t="s">
        <v>863</v>
      </c>
      <c r="P147" s="225"/>
      <c r="Q147" s="65" t="s">
        <v>14</v>
      </c>
      <c r="R147" s="3" t="s">
        <v>15</v>
      </c>
    </row>
    <row r="148" spans="1:18" s="14" customFormat="1" ht="17.25" x14ac:dyDescent="0.3">
      <c r="A148" s="31">
        <v>43312</v>
      </c>
      <c r="B148" s="8" t="s">
        <v>876</v>
      </c>
      <c r="C148" s="85" t="s">
        <v>877</v>
      </c>
      <c r="D148" s="3">
        <v>4.0008999999999997</v>
      </c>
      <c r="E148" s="65">
        <v>100</v>
      </c>
      <c r="F148" s="3">
        <v>2</v>
      </c>
      <c r="G148" s="3">
        <v>17.399999999999999</v>
      </c>
      <c r="H148" s="3">
        <v>0.01</v>
      </c>
      <c r="I148" s="83">
        <v>5.2200000000000003E-2</v>
      </c>
      <c r="J148" s="3">
        <v>17.649999999999999</v>
      </c>
      <c r="K148" s="122">
        <f t="shared" si="6"/>
        <v>14.784208963748032</v>
      </c>
      <c r="L148" s="206"/>
      <c r="M148" s="224"/>
      <c r="N148" s="224"/>
      <c r="O148" s="202"/>
      <c r="P148" s="225"/>
      <c r="Q148" s="65" t="s">
        <v>14</v>
      </c>
      <c r="R148" s="3" t="s">
        <v>15</v>
      </c>
    </row>
    <row r="149" spans="1:18" s="14" customFormat="1" ht="20.25" x14ac:dyDescent="0.3">
      <c r="A149" s="31">
        <v>43312</v>
      </c>
      <c r="B149" s="8" t="s">
        <v>862</v>
      </c>
      <c r="C149" s="85" t="s">
        <v>10</v>
      </c>
      <c r="D149" s="3" t="s">
        <v>10</v>
      </c>
      <c r="E149" s="65">
        <v>100</v>
      </c>
      <c r="F149" s="3">
        <v>2</v>
      </c>
      <c r="G149" s="3">
        <v>17.399999999999999</v>
      </c>
      <c r="H149" s="3">
        <v>0.01</v>
      </c>
      <c r="I149" s="83">
        <v>5.2200000000000003E-2</v>
      </c>
      <c r="J149" s="3" t="s">
        <v>324</v>
      </c>
      <c r="K149" s="132" t="e">
        <f t="shared" si="6"/>
        <v>#VALUE!</v>
      </c>
      <c r="L149" s="133"/>
      <c r="M149" s="123"/>
      <c r="N149" s="123"/>
      <c r="O149" s="123"/>
      <c r="P149" s="123"/>
      <c r="Q149" s="65" t="s">
        <v>14</v>
      </c>
      <c r="R149" s="3" t="s">
        <v>15</v>
      </c>
    </row>
    <row r="150" spans="1:18" s="14" customFormat="1" ht="20.25" x14ac:dyDescent="0.3">
      <c r="A150" s="31">
        <v>43313</v>
      </c>
      <c r="B150" s="8" t="s">
        <v>884</v>
      </c>
      <c r="C150" s="85" t="s">
        <v>10</v>
      </c>
      <c r="D150" s="3">
        <v>2.0004</v>
      </c>
      <c r="E150" s="65">
        <v>100</v>
      </c>
      <c r="F150" s="3">
        <v>1</v>
      </c>
      <c r="G150" s="3">
        <v>17.399999999999999</v>
      </c>
      <c r="H150" s="3">
        <v>0.01</v>
      </c>
      <c r="I150" s="83">
        <v>5.2200000000000003E-2</v>
      </c>
      <c r="J150" s="3">
        <v>89.2</v>
      </c>
      <c r="K150" s="122">
        <f t="shared" si="6"/>
        <v>2.9254238838330995</v>
      </c>
      <c r="L150" s="133"/>
      <c r="M150" s="123"/>
      <c r="N150" s="123"/>
      <c r="O150" s="123"/>
      <c r="P150" s="123"/>
      <c r="Q150" s="65" t="s">
        <v>14</v>
      </c>
      <c r="R150" s="3" t="s">
        <v>15</v>
      </c>
    </row>
    <row r="151" spans="1:18" s="14" customFormat="1" ht="20.25" x14ac:dyDescent="0.3">
      <c r="A151" s="31">
        <v>43313</v>
      </c>
      <c r="B151" s="8" t="s">
        <v>885</v>
      </c>
      <c r="C151" s="85" t="s">
        <v>10</v>
      </c>
      <c r="D151" s="3">
        <v>2.0009000000000001</v>
      </c>
      <c r="E151" s="65">
        <v>100</v>
      </c>
      <c r="F151" s="3">
        <v>1</v>
      </c>
      <c r="G151" s="3">
        <v>17.399999999999999</v>
      </c>
      <c r="H151" s="3">
        <v>0.01</v>
      </c>
      <c r="I151" s="83">
        <v>5.2200000000000003E-2</v>
      </c>
      <c r="J151" s="3">
        <v>75.3</v>
      </c>
      <c r="K151" s="122">
        <f t="shared" si="6"/>
        <v>3.4645763987878766</v>
      </c>
      <c r="L151" s="133"/>
      <c r="M151" s="123"/>
      <c r="N151" s="123"/>
      <c r="O151" s="123"/>
      <c r="P151" s="123"/>
      <c r="Q151" s="65" t="s">
        <v>14</v>
      </c>
      <c r="R151" s="3" t="s">
        <v>15</v>
      </c>
    </row>
    <row r="152" spans="1:18" s="14" customFormat="1" ht="20.25" x14ac:dyDescent="0.3">
      <c r="A152" s="31">
        <v>43313</v>
      </c>
      <c r="B152" s="8" t="s">
        <v>886</v>
      </c>
      <c r="C152" s="85" t="s">
        <v>10</v>
      </c>
      <c r="D152" s="3">
        <v>5.0008999999999997</v>
      </c>
      <c r="E152" s="65">
        <v>100</v>
      </c>
      <c r="F152" s="3">
        <v>2</v>
      </c>
      <c r="G152" s="3">
        <v>17.399999999999999</v>
      </c>
      <c r="H152" s="3">
        <v>0.01</v>
      </c>
      <c r="I152" s="83">
        <v>5.2200000000000003E-2</v>
      </c>
      <c r="J152" s="3">
        <v>93.6</v>
      </c>
      <c r="K152" s="122">
        <f t="shared" si="6"/>
        <v>2.2303677645716085</v>
      </c>
      <c r="L152" s="133"/>
      <c r="M152" s="123"/>
      <c r="N152" s="123"/>
      <c r="O152" s="123"/>
      <c r="P152" s="123"/>
      <c r="Q152" s="65" t="s">
        <v>14</v>
      </c>
      <c r="R152" s="3" t="s">
        <v>15</v>
      </c>
    </row>
    <row r="153" spans="1:18" ht="20.25" x14ac:dyDescent="0.3">
      <c r="A153" s="31">
        <v>43313</v>
      </c>
      <c r="B153" s="8" t="s">
        <v>930</v>
      </c>
      <c r="C153" s="85" t="s">
        <v>932</v>
      </c>
      <c r="D153" s="3">
        <v>20.000299999999999</v>
      </c>
      <c r="E153" s="65">
        <v>100</v>
      </c>
      <c r="F153" s="3">
        <v>2</v>
      </c>
      <c r="G153" s="3">
        <v>17.399999999999999</v>
      </c>
      <c r="H153" s="3">
        <v>0.01</v>
      </c>
      <c r="I153" s="83">
        <v>5.2200000000000003E-2</v>
      </c>
      <c r="J153" s="3">
        <v>80.849999999999994</v>
      </c>
      <c r="K153" s="122">
        <f t="shared" si="6"/>
        <v>0.64563038975565656</v>
      </c>
      <c r="L153" s="134"/>
      <c r="M153" s="121"/>
      <c r="N153" s="121"/>
      <c r="O153" s="121"/>
      <c r="P153" s="121"/>
      <c r="Q153" s="65" t="s">
        <v>14</v>
      </c>
      <c r="R153" s="3" t="s">
        <v>15</v>
      </c>
    </row>
    <row r="154" spans="1:18" ht="20.25" x14ac:dyDescent="0.3">
      <c r="A154" s="31">
        <v>43313</v>
      </c>
      <c r="B154" s="8" t="s">
        <v>931</v>
      </c>
      <c r="C154" s="85" t="s">
        <v>933</v>
      </c>
      <c r="D154" s="3">
        <v>20.000499999999999</v>
      </c>
      <c r="E154" s="65">
        <v>100</v>
      </c>
      <c r="F154" s="3">
        <v>2</v>
      </c>
      <c r="G154" s="3">
        <v>17.399999999999999</v>
      </c>
      <c r="H154" s="3">
        <v>0.01</v>
      </c>
      <c r="I154" s="83">
        <v>5.2200000000000003E-2</v>
      </c>
      <c r="J154" s="3">
        <v>79.650000000000006</v>
      </c>
      <c r="K154" s="122">
        <f t="shared" si="6"/>
        <v>0.65535084786722142</v>
      </c>
      <c r="L154" s="134"/>
      <c r="M154" s="121"/>
      <c r="N154" s="121"/>
      <c r="O154" s="121"/>
      <c r="P154" s="121"/>
      <c r="Q154" s="65" t="s">
        <v>14</v>
      </c>
      <c r="R154" s="3" t="s">
        <v>15</v>
      </c>
    </row>
    <row r="155" spans="1:18" ht="17.25" x14ac:dyDescent="0.3">
      <c r="A155" s="31">
        <v>43326</v>
      </c>
      <c r="B155" s="2" t="s">
        <v>952</v>
      </c>
      <c r="C155" s="85" t="s">
        <v>953</v>
      </c>
      <c r="D155" s="3">
        <v>20.000900000000001</v>
      </c>
      <c r="E155" s="65">
        <v>100</v>
      </c>
      <c r="F155" s="3">
        <v>2</v>
      </c>
      <c r="G155" s="3">
        <v>17.399999999999999</v>
      </c>
      <c r="H155" s="3">
        <v>0.01</v>
      </c>
      <c r="I155" s="83">
        <v>5.2200000000000003E-2</v>
      </c>
      <c r="J155" s="3">
        <v>33.1</v>
      </c>
      <c r="K155" s="122">
        <f t="shared" si="6"/>
        <v>1.5769683113504604</v>
      </c>
      <c r="L155" s="200">
        <f>+AVERAGE(K155:K158)</f>
        <v>1.5746112351670707</v>
      </c>
      <c r="M155" s="201">
        <f>+STDEVA(K155:K158)</f>
        <v>1.9231625851626802E-3</v>
      </c>
      <c r="N155" s="201">
        <f>+(M155/L155)*100</f>
        <v>0.12213570830762091</v>
      </c>
      <c r="O155" s="121"/>
      <c r="P155" s="121"/>
      <c r="Q155" s="65" t="s">
        <v>14</v>
      </c>
      <c r="R155" s="3" t="s">
        <v>15</v>
      </c>
    </row>
    <row r="156" spans="1:18" ht="17.25" x14ac:dyDescent="0.3">
      <c r="A156" s="31">
        <v>43326</v>
      </c>
      <c r="B156" s="2" t="s">
        <v>952</v>
      </c>
      <c r="C156" s="85" t="s">
        <v>953</v>
      </c>
      <c r="D156" s="3">
        <v>20.000900000000001</v>
      </c>
      <c r="E156" s="65">
        <v>100</v>
      </c>
      <c r="F156" s="3">
        <v>2</v>
      </c>
      <c r="G156" s="3">
        <v>17.399999999999999</v>
      </c>
      <c r="H156" s="3">
        <v>0.01</v>
      </c>
      <c r="I156" s="83">
        <v>5.2200000000000003E-2</v>
      </c>
      <c r="J156" s="3">
        <v>33.15</v>
      </c>
      <c r="K156" s="122">
        <f t="shared" ref="K156:K185" si="8">+(I156/J156)*(E156/D156)*F156*100</f>
        <v>1.5745897769442005</v>
      </c>
      <c r="L156" s="200"/>
      <c r="M156" s="201"/>
      <c r="N156" s="201"/>
      <c r="O156" s="121"/>
      <c r="P156" s="121"/>
      <c r="Q156" s="65" t="s">
        <v>14</v>
      </c>
      <c r="R156" s="3" t="s">
        <v>15</v>
      </c>
    </row>
    <row r="157" spans="1:18" ht="17.25" x14ac:dyDescent="0.3">
      <c r="A157" s="31">
        <v>43326</v>
      </c>
      <c r="B157" s="2" t="s">
        <v>952</v>
      </c>
      <c r="C157" s="85" t="s">
        <v>953</v>
      </c>
      <c r="D157" s="3">
        <v>20.000399999999999</v>
      </c>
      <c r="E157" s="65">
        <v>100</v>
      </c>
      <c r="F157" s="3">
        <v>2</v>
      </c>
      <c r="G157" s="3">
        <v>17.399999999999999</v>
      </c>
      <c r="H157" s="3">
        <v>0.01</v>
      </c>
      <c r="I157" s="83">
        <v>5.2200000000000003E-2</v>
      </c>
      <c r="J157" s="3">
        <v>33.15</v>
      </c>
      <c r="K157" s="122">
        <f t="shared" si="8"/>
        <v>1.5746291409013451</v>
      </c>
      <c r="L157" s="200"/>
      <c r="M157" s="201"/>
      <c r="N157" s="201"/>
      <c r="O157" s="202" t="s">
        <v>863</v>
      </c>
      <c r="P157" s="121"/>
      <c r="Q157" s="65" t="s">
        <v>14</v>
      </c>
      <c r="R157" s="3" t="s">
        <v>15</v>
      </c>
    </row>
    <row r="158" spans="1:18" ht="17.25" x14ac:dyDescent="0.3">
      <c r="A158" s="31">
        <v>43326</v>
      </c>
      <c r="B158" s="2" t="s">
        <v>952</v>
      </c>
      <c r="C158" s="85" t="s">
        <v>953</v>
      </c>
      <c r="D158" s="3">
        <v>20.000399999999999</v>
      </c>
      <c r="E158" s="65">
        <v>100</v>
      </c>
      <c r="F158" s="3">
        <v>2</v>
      </c>
      <c r="G158" s="3">
        <v>17.399999999999999</v>
      </c>
      <c r="H158" s="3">
        <v>0.01</v>
      </c>
      <c r="I158" s="83">
        <v>5.2200000000000003E-2</v>
      </c>
      <c r="J158" s="3">
        <v>33.200000000000003</v>
      </c>
      <c r="K158" s="122">
        <f t="shared" si="8"/>
        <v>1.5722577114722767</v>
      </c>
      <c r="L158" s="200"/>
      <c r="M158" s="201"/>
      <c r="N158" s="201"/>
      <c r="O158" s="202"/>
      <c r="P158" s="121"/>
      <c r="Q158" s="65" t="s">
        <v>14</v>
      </c>
      <c r="R158" s="3" t="s">
        <v>15</v>
      </c>
    </row>
    <row r="159" spans="1:18" ht="17.25" x14ac:dyDescent="0.3">
      <c r="A159" s="31">
        <v>43326</v>
      </c>
      <c r="B159" s="2" t="s">
        <v>955</v>
      </c>
      <c r="C159" s="14" t="s">
        <v>954</v>
      </c>
      <c r="D159" s="3">
        <v>20.000299999999999</v>
      </c>
      <c r="E159" s="135">
        <v>100</v>
      </c>
      <c r="F159" s="32">
        <v>2</v>
      </c>
      <c r="G159" s="3">
        <v>17.399999999999999</v>
      </c>
      <c r="H159" s="3">
        <v>0.01</v>
      </c>
      <c r="I159" s="83">
        <v>5.2200000000000003E-2</v>
      </c>
      <c r="J159" s="3">
        <v>43.2</v>
      </c>
      <c r="K159" s="136">
        <f t="shared" si="8"/>
        <v>1.2083152086052042</v>
      </c>
      <c r="L159" s="200">
        <f>+AVERAGE(K159:K160)</f>
        <v>1.2076167605077446</v>
      </c>
      <c r="M159" s="201">
        <f>+STDEVA(K159:K160)</f>
        <v>9.8775477204115017E-4</v>
      </c>
      <c r="N159" s="201">
        <f>+(M159/L159)*100</f>
        <v>8.1793728303824378E-2</v>
      </c>
      <c r="O159" s="121"/>
      <c r="P159" s="121"/>
      <c r="Q159" s="65" t="s">
        <v>14</v>
      </c>
      <c r="R159" s="3" t="s">
        <v>15</v>
      </c>
    </row>
    <row r="160" spans="1:18" ht="17.25" x14ac:dyDescent="0.3">
      <c r="A160" s="74">
        <v>43327</v>
      </c>
      <c r="B160" s="36" t="s">
        <v>956</v>
      </c>
      <c r="C160" s="14" t="s">
        <v>954</v>
      </c>
      <c r="D160" s="3">
        <v>20.000299999999999</v>
      </c>
      <c r="E160" s="135">
        <v>100</v>
      </c>
      <c r="F160" s="32">
        <v>2</v>
      </c>
      <c r="G160" s="57">
        <v>17.399999999999999</v>
      </c>
      <c r="H160" s="57">
        <v>0.01</v>
      </c>
      <c r="I160" s="137">
        <v>5.2200000000000003E-2</v>
      </c>
      <c r="J160" s="3">
        <v>43.25</v>
      </c>
      <c r="K160" s="136">
        <f t="shared" si="8"/>
        <v>1.2069183124102849</v>
      </c>
      <c r="L160" s="200"/>
      <c r="M160" s="201"/>
      <c r="N160" s="201"/>
      <c r="O160" s="121"/>
      <c r="P160" s="121"/>
      <c r="Q160" s="65" t="s">
        <v>14</v>
      </c>
      <c r="R160" s="3" t="s">
        <v>15</v>
      </c>
    </row>
    <row r="161" spans="1:18" ht="20.25" x14ac:dyDescent="0.3">
      <c r="A161" s="31">
        <v>43326</v>
      </c>
      <c r="B161" s="2" t="s">
        <v>126</v>
      </c>
      <c r="C161" s="85" t="s">
        <v>10</v>
      </c>
      <c r="D161" s="3" t="s">
        <v>10</v>
      </c>
      <c r="E161" s="65">
        <v>100</v>
      </c>
      <c r="F161" s="3">
        <v>2</v>
      </c>
      <c r="G161" s="3">
        <v>17.399999999999999</v>
      </c>
      <c r="H161" s="3">
        <v>0.01</v>
      </c>
      <c r="I161" s="83">
        <v>5.2200000000000003E-2</v>
      </c>
      <c r="J161" s="3" t="s">
        <v>324</v>
      </c>
      <c r="K161" s="122" t="e">
        <f t="shared" si="8"/>
        <v>#VALUE!</v>
      </c>
      <c r="L161" s="138"/>
      <c r="M161" s="55"/>
      <c r="N161" s="55"/>
      <c r="O161" s="121"/>
      <c r="P161" s="121"/>
      <c r="Q161" s="65" t="s">
        <v>14</v>
      </c>
      <c r="R161" s="3" t="s">
        <v>15</v>
      </c>
    </row>
    <row r="162" spans="1:18" ht="17.25" x14ac:dyDescent="0.3">
      <c r="A162" s="31">
        <v>43334</v>
      </c>
      <c r="B162" s="2" t="s">
        <v>961</v>
      </c>
      <c r="C162" s="85" t="s">
        <v>960</v>
      </c>
      <c r="D162" s="3">
        <v>10.0006</v>
      </c>
      <c r="E162" s="65">
        <v>100</v>
      </c>
      <c r="F162" s="3">
        <v>8</v>
      </c>
      <c r="G162" s="3">
        <v>17.399999999999999</v>
      </c>
      <c r="H162" s="3">
        <v>0.01</v>
      </c>
      <c r="I162" s="83">
        <v>5.2200000000000003E-2</v>
      </c>
      <c r="J162" s="3">
        <v>40.15</v>
      </c>
      <c r="K162" s="122">
        <f t="shared" si="8"/>
        <v>10.400372241675463</v>
      </c>
      <c r="L162" s="200">
        <f>+AVERAGE(K162:K163)</f>
        <v>10.393904348490342</v>
      </c>
      <c r="M162" s="201">
        <f>+STDEVA(K162:K163)</f>
        <v>9.1469822623801694E-3</v>
      </c>
      <c r="N162" s="201">
        <f>+(M162/L162)*100</f>
        <v>8.8003333066161218E-2</v>
      </c>
      <c r="O162" s="121"/>
      <c r="P162" s="204">
        <f>+AVERAGE(L162:L165)</f>
        <v>10.400536404541203</v>
      </c>
      <c r="Q162" s="65" t="s">
        <v>14</v>
      </c>
      <c r="R162" s="3" t="s">
        <v>15</v>
      </c>
    </row>
    <row r="163" spans="1:18" ht="17.25" x14ac:dyDescent="0.3">
      <c r="A163" s="31">
        <v>43334</v>
      </c>
      <c r="B163" s="2" t="s">
        <v>961</v>
      </c>
      <c r="C163" s="85" t="s">
        <v>960</v>
      </c>
      <c r="D163" s="3">
        <v>10.0006</v>
      </c>
      <c r="E163" s="65">
        <v>100</v>
      </c>
      <c r="F163" s="3">
        <v>8</v>
      </c>
      <c r="G163" s="3">
        <v>17.399999999999999</v>
      </c>
      <c r="H163" s="3">
        <v>0.01</v>
      </c>
      <c r="I163" s="83">
        <v>5.2200000000000003E-2</v>
      </c>
      <c r="J163" s="3">
        <v>40.200000000000003</v>
      </c>
      <c r="K163" s="122">
        <f t="shared" si="8"/>
        <v>10.387436455305219</v>
      </c>
      <c r="L163" s="200"/>
      <c r="M163" s="201"/>
      <c r="N163" s="201"/>
      <c r="O163" s="121"/>
      <c r="P163" s="204"/>
      <c r="Q163" s="65" t="s">
        <v>14</v>
      </c>
      <c r="R163" s="3" t="s">
        <v>15</v>
      </c>
    </row>
    <row r="164" spans="1:18" ht="17.25" x14ac:dyDescent="0.3">
      <c r="A164" s="31">
        <v>43334</v>
      </c>
      <c r="B164" s="2" t="s">
        <v>961</v>
      </c>
      <c r="C164" s="85" t="s">
        <v>960</v>
      </c>
      <c r="D164" s="3">
        <v>10.000299999999999</v>
      </c>
      <c r="E164" s="65">
        <v>100</v>
      </c>
      <c r="F164" s="3">
        <v>8</v>
      </c>
      <c r="G164" s="3">
        <v>17.399999999999999</v>
      </c>
      <c r="H164" s="3">
        <v>0.01</v>
      </c>
      <c r="I164" s="83">
        <v>5.2200000000000003E-2</v>
      </c>
      <c r="J164" s="3">
        <v>40.1</v>
      </c>
      <c r="K164" s="122">
        <f t="shared" si="8"/>
        <v>10.413652677701466</v>
      </c>
      <c r="L164" s="200">
        <f>+AVERAGE(K164:K165)</f>
        <v>10.407168460592064</v>
      </c>
      <c r="M164" s="201">
        <f>+STDEVA(K164:K165)</f>
        <v>9.1700677774878992E-3</v>
      </c>
      <c r="N164" s="201">
        <f>+(M164/L164)*100</f>
        <v>8.8112994540363324E-2</v>
      </c>
      <c r="O164" s="202" t="s">
        <v>863</v>
      </c>
      <c r="P164" s="204"/>
      <c r="Q164" s="65" t="s">
        <v>14</v>
      </c>
      <c r="R164" s="3" t="s">
        <v>15</v>
      </c>
    </row>
    <row r="165" spans="1:18" ht="17.25" x14ac:dyDescent="0.3">
      <c r="A165" s="31">
        <v>43334</v>
      </c>
      <c r="B165" s="2" t="s">
        <v>961</v>
      </c>
      <c r="C165" s="85" t="s">
        <v>960</v>
      </c>
      <c r="D165" s="3">
        <v>10.000299999999999</v>
      </c>
      <c r="E165" s="65">
        <v>100</v>
      </c>
      <c r="F165" s="3">
        <v>8</v>
      </c>
      <c r="G165" s="3">
        <v>17.399999999999999</v>
      </c>
      <c r="H165" s="3">
        <v>0.01</v>
      </c>
      <c r="I165" s="83">
        <v>5.2200000000000003E-2</v>
      </c>
      <c r="J165" s="3">
        <v>40.15</v>
      </c>
      <c r="K165" s="122">
        <f t="shared" si="8"/>
        <v>10.400684243482662</v>
      </c>
      <c r="L165" s="200"/>
      <c r="M165" s="201"/>
      <c r="N165" s="201"/>
      <c r="O165" s="202"/>
      <c r="P165" s="204"/>
      <c r="Q165" s="65" t="s">
        <v>14</v>
      </c>
      <c r="R165" s="3" t="s">
        <v>15</v>
      </c>
    </row>
    <row r="166" spans="1:18" ht="20.25" x14ac:dyDescent="0.3">
      <c r="A166" s="31">
        <v>43334</v>
      </c>
      <c r="B166" s="2" t="s">
        <v>862</v>
      </c>
      <c r="C166" s="85" t="s">
        <v>10</v>
      </c>
      <c r="D166" s="3" t="s">
        <v>10</v>
      </c>
      <c r="E166" s="65">
        <v>100</v>
      </c>
      <c r="F166" s="3">
        <v>8</v>
      </c>
      <c r="G166" s="3">
        <v>17.399999999999999</v>
      </c>
      <c r="H166" s="3">
        <v>0.01</v>
      </c>
      <c r="I166" s="83">
        <v>5.2200000000000003E-2</v>
      </c>
      <c r="J166" s="3" t="s">
        <v>324</v>
      </c>
      <c r="K166" s="122" t="e">
        <f t="shared" si="8"/>
        <v>#VALUE!</v>
      </c>
      <c r="L166" s="138"/>
      <c r="M166" s="55"/>
      <c r="N166" s="55"/>
      <c r="O166" s="139"/>
      <c r="P166" s="121"/>
      <c r="Q166" s="65" t="s">
        <v>14</v>
      </c>
      <c r="R166" s="3" t="s">
        <v>15</v>
      </c>
    </row>
    <row r="167" spans="1:18" ht="17.25" x14ac:dyDescent="0.3">
      <c r="A167" s="31">
        <v>43335</v>
      </c>
      <c r="B167" s="2" t="s">
        <v>1000</v>
      </c>
      <c r="C167" s="85" t="s">
        <v>985</v>
      </c>
      <c r="D167" s="3">
        <v>10.0009</v>
      </c>
      <c r="E167" s="65">
        <v>100</v>
      </c>
      <c r="F167" s="3">
        <v>8</v>
      </c>
      <c r="G167" s="3">
        <v>17.399999999999999</v>
      </c>
      <c r="H167" s="3">
        <v>0.01</v>
      </c>
      <c r="I167" s="83">
        <v>5.2200000000000003E-2</v>
      </c>
      <c r="J167" s="3">
        <v>23.6</v>
      </c>
      <c r="K167" s="122">
        <f t="shared" si="8"/>
        <v>17.693322855180323</v>
      </c>
      <c r="L167" s="200">
        <f>+AVERAGE(K167:K168)</f>
        <v>17.71210557583338</v>
      </c>
      <c r="M167" s="201">
        <f>+STDEVA(K167:K168)</f>
        <v>2.6562778285818562E-2</v>
      </c>
      <c r="N167" s="201">
        <f>+(M167/L167)*100</f>
        <v>0.14996962485398208</v>
      </c>
      <c r="O167" s="121"/>
      <c r="P167" s="121"/>
      <c r="Q167" s="65" t="s">
        <v>14</v>
      </c>
      <c r="R167" s="3" t="s">
        <v>15</v>
      </c>
    </row>
    <row r="168" spans="1:18" ht="17.25" x14ac:dyDescent="0.3">
      <c r="A168" s="31">
        <v>43335</v>
      </c>
      <c r="B168" s="2" t="s">
        <v>979</v>
      </c>
      <c r="C168" s="85" t="s">
        <v>992</v>
      </c>
      <c r="D168" s="3">
        <v>10.0009</v>
      </c>
      <c r="E168" s="65">
        <v>100</v>
      </c>
      <c r="F168" s="3">
        <v>8</v>
      </c>
      <c r="G168" s="3">
        <v>17.399999999999999</v>
      </c>
      <c r="H168" s="3">
        <v>0.01</v>
      </c>
      <c r="I168" s="83">
        <v>5.2200000000000003E-2</v>
      </c>
      <c r="J168" s="3">
        <v>23.55</v>
      </c>
      <c r="K168" s="122">
        <f t="shared" si="8"/>
        <v>17.730888296486437</v>
      </c>
      <c r="L168" s="200"/>
      <c r="M168" s="201"/>
      <c r="N168" s="201"/>
      <c r="O168" s="121"/>
      <c r="P168" s="121"/>
      <c r="Q168" s="65" t="s">
        <v>14</v>
      </c>
      <c r="R168" s="3" t="s">
        <v>15</v>
      </c>
    </row>
    <row r="169" spans="1:18" ht="17.25" x14ac:dyDescent="0.3">
      <c r="A169" s="31">
        <v>43335</v>
      </c>
      <c r="B169" s="2" t="s">
        <v>980</v>
      </c>
      <c r="C169" s="85" t="s">
        <v>993</v>
      </c>
      <c r="D169" s="3">
        <v>10.0009</v>
      </c>
      <c r="E169" s="65">
        <v>100</v>
      </c>
      <c r="F169" s="3">
        <v>2</v>
      </c>
      <c r="G169" s="3">
        <v>17.399999999999999</v>
      </c>
      <c r="H169" s="3">
        <v>0.01</v>
      </c>
      <c r="I169" s="83">
        <v>5.2200000000000003E-2</v>
      </c>
      <c r="J169" s="3">
        <v>28.15</v>
      </c>
      <c r="K169" s="122">
        <f t="shared" si="8"/>
        <v>3.7083696215120394</v>
      </c>
      <c r="L169" s="200">
        <f>+AVERAGE(K169:K170)</f>
        <v>3.7116688827411428</v>
      </c>
      <c r="M169" s="201">
        <f>+STDEVA(K169:K170)</f>
        <v>4.6658599760094422E-3</v>
      </c>
      <c r="N169" s="201">
        <f>+(M169/L169)*100</f>
        <v>0.12570787221093951</v>
      </c>
      <c r="O169" s="121"/>
      <c r="P169" s="121"/>
      <c r="Q169" s="65" t="s">
        <v>14</v>
      </c>
      <c r="R169" s="3" t="s">
        <v>15</v>
      </c>
    </row>
    <row r="170" spans="1:18" ht="17.25" x14ac:dyDescent="0.3">
      <c r="A170" s="31">
        <v>43335</v>
      </c>
      <c r="B170" s="2" t="s">
        <v>980</v>
      </c>
      <c r="C170" s="85" t="s">
        <v>994</v>
      </c>
      <c r="D170" s="3">
        <v>10.0009</v>
      </c>
      <c r="E170" s="65">
        <v>100</v>
      </c>
      <c r="F170" s="3">
        <v>2</v>
      </c>
      <c r="G170" s="3">
        <v>17.399999999999999</v>
      </c>
      <c r="H170" s="3">
        <v>0.01</v>
      </c>
      <c r="I170" s="83">
        <v>5.2200000000000003E-2</v>
      </c>
      <c r="J170" s="3">
        <v>28.1</v>
      </c>
      <c r="K170" s="122">
        <f t="shared" si="8"/>
        <v>3.7149681439702458</v>
      </c>
      <c r="L170" s="200"/>
      <c r="M170" s="201"/>
      <c r="N170" s="201"/>
      <c r="O170" s="121"/>
      <c r="P170" s="121"/>
      <c r="Q170" s="65" t="s">
        <v>14</v>
      </c>
      <c r="R170" s="3" t="s">
        <v>15</v>
      </c>
    </row>
    <row r="171" spans="1:18" ht="17.25" x14ac:dyDescent="0.3">
      <c r="A171" s="31">
        <v>43335</v>
      </c>
      <c r="B171" s="2" t="s">
        <v>981</v>
      </c>
      <c r="C171" s="85" t="s">
        <v>987</v>
      </c>
      <c r="D171" s="3">
        <v>10.0008</v>
      </c>
      <c r="E171" s="65">
        <v>100</v>
      </c>
      <c r="F171" s="3">
        <v>8</v>
      </c>
      <c r="G171" s="3">
        <v>17.399999999999999</v>
      </c>
      <c r="H171" s="3">
        <v>0.01</v>
      </c>
      <c r="I171" s="83">
        <v>5.2200000000000003E-2</v>
      </c>
      <c r="J171" s="3">
        <v>20.95</v>
      </c>
      <c r="K171" s="122">
        <f t="shared" si="8"/>
        <v>19.931579697967841</v>
      </c>
      <c r="L171" s="200">
        <f>+AVERAGE(K171:K172)</f>
        <v>19.955421300477372</v>
      </c>
      <c r="M171" s="201">
        <f>+STDEVA(K171:K172)</f>
        <v>3.3717117617687378E-2</v>
      </c>
      <c r="N171" s="201">
        <f>+(M171/L171)*100</f>
        <v>0.16896219383191274</v>
      </c>
      <c r="O171" s="121"/>
      <c r="P171" s="204">
        <f>+AVERAGE(L171:L174)</f>
        <v>19.979220070000011</v>
      </c>
      <c r="Q171" s="65" t="s">
        <v>14</v>
      </c>
      <c r="R171" s="3" t="s">
        <v>15</v>
      </c>
    </row>
    <row r="172" spans="1:18" ht="17.25" x14ac:dyDescent="0.3">
      <c r="A172" s="31">
        <v>43335</v>
      </c>
      <c r="B172" s="2" t="s">
        <v>981</v>
      </c>
      <c r="C172" s="85" t="s">
        <v>997</v>
      </c>
      <c r="D172" s="3">
        <v>10.0008</v>
      </c>
      <c r="E172" s="65">
        <v>100</v>
      </c>
      <c r="F172" s="3">
        <v>8</v>
      </c>
      <c r="G172" s="3">
        <v>17.399999999999999</v>
      </c>
      <c r="H172" s="3">
        <v>0.01</v>
      </c>
      <c r="I172" s="83">
        <v>5.2200000000000003E-2</v>
      </c>
      <c r="J172" s="3">
        <v>20.9</v>
      </c>
      <c r="K172" s="122">
        <f t="shared" si="8"/>
        <v>19.979262902986903</v>
      </c>
      <c r="L172" s="200"/>
      <c r="M172" s="201"/>
      <c r="N172" s="201"/>
      <c r="O172" s="121"/>
      <c r="P172" s="204"/>
      <c r="Q172" s="65" t="s">
        <v>14</v>
      </c>
      <c r="R172" s="3" t="s">
        <v>15</v>
      </c>
    </row>
    <row r="173" spans="1:18" ht="17.25" x14ac:dyDescent="0.3">
      <c r="A173" s="31">
        <v>43335</v>
      </c>
      <c r="B173" s="2" t="s">
        <v>981</v>
      </c>
      <c r="C173" s="85" t="s">
        <v>998</v>
      </c>
      <c r="D173" s="3">
        <v>10.0009</v>
      </c>
      <c r="E173" s="65">
        <v>100</v>
      </c>
      <c r="F173" s="3">
        <v>8</v>
      </c>
      <c r="G173" s="3">
        <v>17.399999999999999</v>
      </c>
      <c r="H173" s="3">
        <v>0.01</v>
      </c>
      <c r="I173" s="83">
        <v>5.2200000000000003E-2</v>
      </c>
      <c r="J173" s="3">
        <v>20.85</v>
      </c>
      <c r="K173" s="122">
        <f t="shared" si="8"/>
        <v>20.026974550707706</v>
      </c>
      <c r="L173" s="200">
        <f>+AVERAGE(K173:K174)</f>
        <v>20.00301883952265</v>
      </c>
      <c r="M173" s="201">
        <f>+STDEVA(K173:K174)</f>
        <v>3.3878491654199851E-2</v>
      </c>
      <c r="N173" s="201">
        <f>+(M173/L173)*100</f>
        <v>0.16936689369737315</v>
      </c>
      <c r="O173" s="202" t="s">
        <v>863</v>
      </c>
      <c r="P173" s="204"/>
      <c r="Q173" s="65" t="s">
        <v>14</v>
      </c>
      <c r="R173" s="3" t="s">
        <v>15</v>
      </c>
    </row>
    <row r="174" spans="1:18" ht="17.25" x14ac:dyDescent="0.3">
      <c r="A174" s="31">
        <v>43335</v>
      </c>
      <c r="B174" s="2" t="s">
        <v>981</v>
      </c>
      <c r="C174" s="85" t="s">
        <v>999</v>
      </c>
      <c r="D174" s="3">
        <v>10.0009</v>
      </c>
      <c r="E174" s="65">
        <v>100</v>
      </c>
      <c r="F174" s="3">
        <v>8</v>
      </c>
      <c r="G174" s="3">
        <v>17.399999999999999</v>
      </c>
      <c r="H174" s="3">
        <v>0.01</v>
      </c>
      <c r="I174" s="83">
        <v>5.2200000000000003E-2</v>
      </c>
      <c r="J174" s="3">
        <v>20.9</v>
      </c>
      <c r="K174" s="122">
        <f t="shared" si="8"/>
        <v>19.979063128337593</v>
      </c>
      <c r="L174" s="200"/>
      <c r="M174" s="201"/>
      <c r="N174" s="201"/>
      <c r="O174" s="202"/>
      <c r="P174" s="204"/>
      <c r="Q174" s="65" t="s">
        <v>14</v>
      </c>
      <c r="R174" s="3" t="s">
        <v>15</v>
      </c>
    </row>
    <row r="175" spans="1:18" ht="17.25" x14ac:dyDescent="0.3">
      <c r="A175" s="31">
        <v>43339</v>
      </c>
      <c r="B175" s="2" t="s">
        <v>1018</v>
      </c>
      <c r="C175" s="85" t="s">
        <v>1019</v>
      </c>
      <c r="D175" s="3">
        <v>20.000699999999998</v>
      </c>
      <c r="E175" s="65">
        <v>100</v>
      </c>
      <c r="F175" s="3">
        <v>16</v>
      </c>
      <c r="G175" s="3">
        <v>17.399999999999999</v>
      </c>
      <c r="H175" s="3">
        <v>0.01</v>
      </c>
      <c r="I175" s="83">
        <v>5.2200000000000003E-2</v>
      </c>
      <c r="J175" s="3">
        <v>16.95</v>
      </c>
      <c r="K175" s="122">
        <f t="shared" si="8"/>
        <v>24.636305870887444</v>
      </c>
      <c r="L175" s="200">
        <f>+AVERAGE(K175:K176)</f>
        <v>24.672750110341422</v>
      </c>
      <c r="M175" s="201">
        <f>+STDEVA(K175:K176)</f>
        <v>5.1539937706188185E-2</v>
      </c>
      <c r="N175" s="201">
        <f>+(M175/L175)*100</f>
        <v>0.20889417464891991</v>
      </c>
      <c r="O175" s="202" t="s">
        <v>863</v>
      </c>
      <c r="P175" s="204">
        <f>+AVERAGE(L175:L178)</f>
        <v>24.70924063077647</v>
      </c>
      <c r="Q175" s="65" t="s">
        <v>14</v>
      </c>
      <c r="R175" s="3" t="s">
        <v>15</v>
      </c>
    </row>
    <row r="176" spans="1:18" ht="17.25" x14ac:dyDescent="0.3">
      <c r="A176" s="31">
        <v>43339</v>
      </c>
      <c r="B176" s="2" t="s">
        <v>1018</v>
      </c>
      <c r="C176" s="85" t="s">
        <v>1019</v>
      </c>
      <c r="D176" s="3">
        <v>20.000699999999998</v>
      </c>
      <c r="E176" s="65">
        <v>100</v>
      </c>
      <c r="F176" s="3">
        <v>16</v>
      </c>
      <c r="G176" s="3">
        <v>17.399999999999999</v>
      </c>
      <c r="H176" s="3">
        <v>0.01</v>
      </c>
      <c r="I176" s="83">
        <v>5.2200000000000003E-2</v>
      </c>
      <c r="J176" s="3">
        <v>16.899999999999999</v>
      </c>
      <c r="K176" s="122">
        <f t="shared" si="8"/>
        <v>24.7091943497954</v>
      </c>
      <c r="L176" s="200"/>
      <c r="M176" s="201"/>
      <c r="N176" s="201"/>
      <c r="O176" s="202"/>
      <c r="P176" s="204"/>
      <c r="Q176" s="65" t="s">
        <v>14</v>
      </c>
      <c r="R176" s="3" t="s">
        <v>15</v>
      </c>
    </row>
    <row r="177" spans="1:18" ht="17.25" x14ac:dyDescent="0.3">
      <c r="A177" s="31">
        <v>43339</v>
      </c>
      <c r="B177" s="2" t="s">
        <v>1018</v>
      </c>
      <c r="C177" s="85" t="s">
        <v>1019</v>
      </c>
      <c r="D177" s="3">
        <v>20.000800000000002</v>
      </c>
      <c r="E177" s="65">
        <v>100</v>
      </c>
      <c r="F177" s="3">
        <v>16</v>
      </c>
      <c r="G177" s="3">
        <v>17.399999999999999</v>
      </c>
      <c r="H177" s="3">
        <v>0.01</v>
      </c>
      <c r="I177" s="83">
        <v>5.2200000000000003E-2</v>
      </c>
      <c r="J177" s="3">
        <v>16.850000000000001</v>
      </c>
      <c r="K177" s="122">
        <f t="shared" si="8"/>
        <v>24.782391493657759</v>
      </c>
      <c r="L177" s="200">
        <f>+AVERAGE(K177:K178)</f>
        <v>24.745731151211523</v>
      </c>
      <c r="M177" s="201">
        <f>+STDEVA(K177:K178)</f>
        <v>5.1845553488709242E-2</v>
      </c>
      <c r="N177" s="201">
        <f>+(M177/L177)*100</f>
        <v>0.20951312035155178</v>
      </c>
      <c r="O177" s="202" t="s">
        <v>863</v>
      </c>
      <c r="P177" s="204"/>
      <c r="Q177" s="65" t="s">
        <v>14</v>
      </c>
      <c r="R177" s="3" t="s">
        <v>15</v>
      </c>
    </row>
    <row r="178" spans="1:18" ht="17.25" x14ac:dyDescent="0.3">
      <c r="A178" s="31">
        <v>43339</v>
      </c>
      <c r="B178" s="2" t="s">
        <v>1018</v>
      </c>
      <c r="C178" s="85" t="s">
        <v>1019</v>
      </c>
      <c r="D178" s="3">
        <v>20.000800000000002</v>
      </c>
      <c r="E178" s="65">
        <v>100</v>
      </c>
      <c r="F178" s="3">
        <v>16</v>
      </c>
      <c r="G178" s="3">
        <v>17.399999999999999</v>
      </c>
      <c r="H178" s="3">
        <v>0.01</v>
      </c>
      <c r="I178" s="83">
        <v>5.2200000000000003E-2</v>
      </c>
      <c r="J178" s="3">
        <v>16.899999999999999</v>
      </c>
      <c r="K178" s="122">
        <f t="shared" si="8"/>
        <v>24.709070808765286</v>
      </c>
      <c r="L178" s="200"/>
      <c r="M178" s="201"/>
      <c r="N178" s="201"/>
      <c r="O178" s="202"/>
      <c r="P178" s="204"/>
      <c r="Q178" s="65" t="s">
        <v>14</v>
      </c>
      <c r="R178" s="3" t="s">
        <v>15</v>
      </c>
    </row>
    <row r="179" spans="1:18" ht="20.25" x14ac:dyDescent="0.3">
      <c r="A179" s="31">
        <v>43339</v>
      </c>
      <c r="B179" s="2" t="s">
        <v>862</v>
      </c>
      <c r="C179" s="85" t="s">
        <v>1019</v>
      </c>
      <c r="D179" s="3" t="s">
        <v>10</v>
      </c>
      <c r="E179" s="65">
        <v>100</v>
      </c>
      <c r="F179" s="3">
        <v>16</v>
      </c>
      <c r="G179" s="3">
        <v>17.399999999999999</v>
      </c>
      <c r="H179" s="3">
        <v>0.01</v>
      </c>
      <c r="I179" s="83">
        <v>5.2200000000000003E-2</v>
      </c>
      <c r="J179" s="3" t="s">
        <v>324</v>
      </c>
      <c r="K179" s="122" t="e">
        <f t="shared" si="8"/>
        <v>#VALUE!</v>
      </c>
      <c r="L179" s="140"/>
      <c r="M179" s="141"/>
      <c r="N179" s="141"/>
      <c r="O179" s="123"/>
      <c r="P179" s="120"/>
      <c r="Q179" s="65" t="s">
        <v>14</v>
      </c>
      <c r="R179" s="3" t="s">
        <v>15</v>
      </c>
    </row>
    <row r="180" spans="1:18" x14ac:dyDescent="0.3">
      <c r="A180" s="31">
        <v>43339</v>
      </c>
      <c r="B180" s="2" t="s">
        <v>1026</v>
      </c>
      <c r="C180" s="3" t="s">
        <v>1027</v>
      </c>
      <c r="D180" s="2">
        <v>20.000299999999999</v>
      </c>
      <c r="E180" s="3">
        <v>100</v>
      </c>
      <c r="F180" s="3">
        <v>2</v>
      </c>
      <c r="G180" s="3">
        <v>17.399999999999999</v>
      </c>
      <c r="H180" s="3">
        <v>0.01</v>
      </c>
      <c r="I180" s="83">
        <v>5.2200000000000003E-2</v>
      </c>
      <c r="J180" s="3">
        <v>34.549999999999997</v>
      </c>
      <c r="K180" s="56">
        <f t="shared" si="8"/>
        <v>1.5108311725541195</v>
      </c>
      <c r="L180" s="200">
        <f>+AVERAGE(K180:K181)</f>
        <v>1.5086510409919924</v>
      </c>
      <c r="M180" s="223">
        <f>+STDEVA(K180:K181)</f>
        <v>3.0831716229178605E-3</v>
      </c>
      <c r="N180" s="223">
        <f>+(M180/L180)*100</f>
        <v>0.20436612173021562</v>
      </c>
      <c r="O180" s="121"/>
      <c r="P180" s="121"/>
      <c r="Q180" s="65" t="s">
        <v>14</v>
      </c>
      <c r="R180" s="3" t="s">
        <v>15</v>
      </c>
    </row>
    <row r="181" spans="1:18" x14ac:dyDescent="0.3">
      <c r="A181" s="31">
        <v>43339</v>
      </c>
      <c r="B181" s="2" t="s">
        <v>1026</v>
      </c>
      <c r="C181" s="3" t="s">
        <v>1027</v>
      </c>
      <c r="D181" s="2">
        <v>20.000299999999999</v>
      </c>
      <c r="E181" s="3">
        <v>100</v>
      </c>
      <c r="F181" s="3">
        <v>2</v>
      </c>
      <c r="G181" s="3">
        <v>17.399999999999999</v>
      </c>
      <c r="H181" s="3">
        <v>0.01</v>
      </c>
      <c r="I181" s="83">
        <v>5.2200000000000003E-2</v>
      </c>
      <c r="J181" s="3">
        <v>34.65</v>
      </c>
      <c r="K181" s="56">
        <f t="shared" si="8"/>
        <v>1.5064709094298652</v>
      </c>
      <c r="L181" s="200"/>
      <c r="M181" s="224"/>
      <c r="N181" s="224"/>
      <c r="O181" s="121"/>
      <c r="P181" s="121"/>
      <c r="Q181" s="65" t="s">
        <v>14</v>
      </c>
      <c r="R181" s="3" t="s">
        <v>15</v>
      </c>
    </row>
    <row r="182" spans="1:18" x14ac:dyDescent="0.3">
      <c r="A182" s="31">
        <v>43339</v>
      </c>
      <c r="B182" s="2" t="s">
        <v>1028</v>
      </c>
      <c r="C182" s="3" t="s">
        <v>1029</v>
      </c>
      <c r="D182" s="2">
        <v>20.000800000000002</v>
      </c>
      <c r="E182" s="3">
        <v>100</v>
      </c>
      <c r="F182" s="3">
        <v>2</v>
      </c>
      <c r="G182" s="3">
        <v>17.399999999999999</v>
      </c>
      <c r="H182" s="3">
        <v>0.01</v>
      </c>
      <c r="I182" s="83">
        <v>5.2200000000000003E-2</v>
      </c>
      <c r="J182" s="3">
        <v>43.1</v>
      </c>
      <c r="K182" s="56">
        <f t="shared" si="8"/>
        <v>1.2110884474133796</v>
      </c>
      <c r="L182" s="200">
        <f>+AVERAGE(K182:K183)</f>
        <v>1.2132032700805739</v>
      </c>
      <c r="M182" s="223">
        <f>+STDEVA(K182:K183)</f>
        <v>2.9908108979604009E-3</v>
      </c>
      <c r="N182" s="223">
        <f>+(M182/L182)*100</f>
        <v>0.24652182958275151</v>
      </c>
      <c r="O182" s="121"/>
      <c r="P182" s="227">
        <f>+AVERAGE(L182:L185)</f>
        <v>1.2167438785901388</v>
      </c>
      <c r="Q182" s="65" t="s">
        <v>14</v>
      </c>
      <c r="R182" s="3" t="s">
        <v>15</v>
      </c>
    </row>
    <row r="183" spans="1:18" x14ac:dyDescent="0.3">
      <c r="A183" s="31">
        <v>43339</v>
      </c>
      <c r="B183" s="2" t="s">
        <v>1028</v>
      </c>
      <c r="C183" s="3" t="s">
        <v>1029</v>
      </c>
      <c r="D183" s="2">
        <v>20.000800000000002</v>
      </c>
      <c r="E183" s="3">
        <v>100</v>
      </c>
      <c r="F183" s="3">
        <v>2</v>
      </c>
      <c r="G183" s="3">
        <v>17.399999999999999</v>
      </c>
      <c r="H183" s="3">
        <v>0.01</v>
      </c>
      <c r="I183" s="83">
        <v>5.2200000000000003E-2</v>
      </c>
      <c r="J183" s="3">
        <v>42.95</v>
      </c>
      <c r="K183" s="56">
        <f t="shared" si="8"/>
        <v>1.2153180927477685</v>
      </c>
      <c r="L183" s="200"/>
      <c r="M183" s="224"/>
      <c r="N183" s="224"/>
      <c r="O183" s="121"/>
      <c r="P183" s="228"/>
      <c r="Q183" s="65" t="s">
        <v>14</v>
      </c>
      <c r="R183" s="3" t="s">
        <v>15</v>
      </c>
    </row>
    <row r="184" spans="1:18" x14ac:dyDescent="0.3">
      <c r="A184" s="31">
        <v>43339</v>
      </c>
      <c r="B184" s="2" t="s">
        <v>1028</v>
      </c>
      <c r="C184" s="3" t="s">
        <v>1029</v>
      </c>
      <c r="D184" s="2">
        <v>20.000900000000001</v>
      </c>
      <c r="E184" s="3">
        <v>100</v>
      </c>
      <c r="F184" s="3">
        <v>2</v>
      </c>
      <c r="G184" s="3">
        <v>17.399999999999999</v>
      </c>
      <c r="H184" s="3">
        <v>0.01</v>
      </c>
      <c r="I184" s="83">
        <v>5.2200000000000003E-2</v>
      </c>
      <c r="J184" s="3">
        <v>42.8</v>
      </c>
      <c r="K184" s="56">
        <f t="shared" si="8"/>
        <v>1.2195712875163609</v>
      </c>
      <c r="L184" s="200">
        <f>+AVERAGE(K184:K185)</f>
        <v>1.2202844870997036</v>
      </c>
      <c r="M184" s="223">
        <f>+STDEVA(K184:K185)</f>
        <v>1.0086165234422513E-3</v>
      </c>
      <c r="N184" s="223">
        <f>+(M184/L184)*100</f>
        <v>8.2654211710866579E-2</v>
      </c>
      <c r="O184" s="223" t="s">
        <v>863</v>
      </c>
      <c r="P184" s="228"/>
      <c r="Q184" s="65" t="s">
        <v>14</v>
      </c>
      <c r="R184" s="3" t="s">
        <v>15</v>
      </c>
    </row>
    <row r="185" spans="1:18" x14ac:dyDescent="0.3">
      <c r="A185" s="31">
        <v>43339</v>
      </c>
      <c r="B185" s="2" t="s">
        <v>1028</v>
      </c>
      <c r="C185" s="3" t="s">
        <v>1029</v>
      </c>
      <c r="D185" s="2">
        <v>20.000900000000001</v>
      </c>
      <c r="E185" s="3">
        <v>100</v>
      </c>
      <c r="F185" s="3">
        <v>2</v>
      </c>
      <c r="G185" s="3">
        <v>17.399999999999999</v>
      </c>
      <c r="H185" s="3">
        <v>0.01</v>
      </c>
      <c r="I185" s="83">
        <v>5.2200000000000003E-2</v>
      </c>
      <c r="J185" s="3">
        <v>42.75</v>
      </c>
      <c r="K185" s="56">
        <f t="shared" si="8"/>
        <v>1.2209976866830465</v>
      </c>
      <c r="L185" s="200"/>
      <c r="M185" s="224"/>
      <c r="N185" s="224"/>
      <c r="O185" s="224"/>
      <c r="P185" s="229"/>
      <c r="Q185" s="65" t="s">
        <v>14</v>
      </c>
      <c r="R185" s="3" t="s">
        <v>15</v>
      </c>
    </row>
    <row r="186" spans="1:18" ht="17.25" x14ac:dyDescent="0.3">
      <c r="A186" s="31">
        <v>43340</v>
      </c>
      <c r="B186" s="2" t="s">
        <v>1034</v>
      </c>
      <c r="C186" s="85">
        <v>1</v>
      </c>
      <c r="D186" s="3">
        <v>10.0001</v>
      </c>
      <c r="E186" s="65">
        <v>100</v>
      </c>
      <c r="F186" s="3">
        <v>1</v>
      </c>
      <c r="G186" s="3">
        <v>17.8</v>
      </c>
      <c r="H186" s="3">
        <v>0.01</v>
      </c>
      <c r="I186" s="83">
        <v>5.2200000000000003E-2</v>
      </c>
      <c r="J186" s="3">
        <v>33.799999999999997</v>
      </c>
      <c r="K186" s="122">
        <f t="shared" ref="K186:K249" si="9">+(I186/AVERAGE(J186:J186))*(E186/D186)*F186*100</f>
        <v>1.5443632545923065</v>
      </c>
      <c r="L186" s="200">
        <f>+AVERAGE(K186:K187)</f>
        <v>1.5455072273734858</v>
      </c>
      <c r="M186" s="201">
        <f>+STDEVA(K186:K187)</f>
        <v>1.6178218221294081E-3</v>
      </c>
      <c r="N186" s="201">
        <f>+(M186/L186)*100</f>
        <v>0.10467902016083208</v>
      </c>
      <c r="O186" s="121"/>
      <c r="P186" s="121"/>
      <c r="Q186" s="3" t="s">
        <v>15</v>
      </c>
      <c r="R186" s="2" t="s">
        <v>14</v>
      </c>
    </row>
    <row r="187" spans="1:18" ht="17.25" x14ac:dyDescent="0.3">
      <c r="A187" s="31">
        <v>43340</v>
      </c>
      <c r="B187" s="2" t="s">
        <v>1034</v>
      </c>
      <c r="C187" s="85">
        <v>1</v>
      </c>
      <c r="D187" s="3">
        <v>10.0001</v>
      </c>
      <c r="E187" s="65">
        <v>100</v>
      </c>
      <c r="F187" s="3">
        <v>1</v>
      </c>
      <c r="G187" s="3">
        <v>17.8</v>
      </c>
      <c r="H187" s="3">
        <v>0.01</v>
      </c>
      <c r="I187" s="83">
        <v>5.2200000000000003E-2</v>
      </c>
      <c r="J187" s="3">
        <v>33.75</v>
      </c>
      <c r="K187" s="122">
        <f t="shared" si="9"/>
        <v>1.5466512001546651</v>
      </c>
      <c r="L187" s="200"/>
      <c r="M187" s="201"/>
      <c r="N187" s="201"/>
      <c r="O187" s="121"/>
      <c r="P187" s="121"/>
      <c r="Q187" s="3" t="s">
        <v>15</v>
      </c>
      <c r="R187" s="2" t="s">
        <v>14</v>
      </c>
    </row>
    <row r="188" spans="1:18" ht="17.25" x14ac:dyDescent="0.3">
      <c r="A188" s="31">
        <v>43340</v>
      </c>
      <c r="B188" s="2" t="s">
        <v>1035</v>
      </c>
      <c r="C188" s="85">
        <v>2</v>
      </c>
      <c r="D188" s="3">
        <v>10.000299999999999</v>
      </c>
      <c r="E188" s="65">
        <v>100</v>
      </c>
      <c r="F188" s="3">
        <v>1</v>
      </c>
      <c r="G188" s="3">
        <v>17.8</v>
      </c>
      <c r="H188" s="3">
        <v>0.01</v>
      </c>
      <c r="I188" s="83">
        <v>5.2200000000000003E-2</v>
      </c>
      <c r="J188" s="3">
        <v>20.8</v>
      </c>
      <c r="K188" s="122">
        <f t="shared" si="9"/>
        <v>2.5095400984124328</v>
      </c>
      <c r="L188" s="200">
        <f>+AVERAGE(K188:K189)</f>
        <v>2.5065310575270461</v>
      </c>
      <c r="M188" s="201">
        <f>+STDEVA(K188:K189)</f>
        <v>4.2554264298489764E-3</v>
      </c>
      <c r="N188" s="201">
        <f>+(M188/L188)*100</f>
        <v>0.16977353689953467</v>
      </c>
      <c r="O188" s="121"/>
      <c r="P188" s="121"/>
      <c r="Q188" s="3" t="s">
        <v>15</v>
      </c>
      <c r="R188" s="2" t="s">
        <v>14</v>
      </c>
    </row>
    <row r="189" spans="1:18" ht="17.25" x14ac:dyDescent="0.3">
      <c r="A189" s="31">
        <v>43340</v>
      </c>
      <c r="B189" s="2" t="s">
        <v>1035</v>
      </c>
      <c r="C189" s="85">
        <v>2</v>
      </c>
      <c r="D189" s="3">
        <v>10.000299999999999</v>
      </c>
      <c r="E189" s="65">
        <v>100</v>
      </c>
      <c r="F189" s="3">
        <v>1</v>
      </c>
      <c r="G189" s="3">
        <v>17.8</v>
      </c>
      <c r="H189" s="3">
        <v>0.01</v>
      </c>
      <c r="I189" s="83">
        <v>5.2200000000000003E-2</v>
      </c>
      <c r="J189" s="3">
        <v>20.85</v>
      </c>
      <c r="K189" s="122">
        <f t="shared" si="9"/>
        <v>2.5035220166416594</v>
      </c>
      <c r="L189" s="200"/>
      <c r="M189" s="201"/>
      <c r="N189" s="201"/>
      <c r="O189" s="121"/>
      <c r="P189" s="121"/>
      <c r="Q189" s="3" t="s">
        <v>15</v>
      </c>
      <c r="R189" s="2" t="s">
        <v>14</v>
      </c>
    </row>
    <row r="190" spans="1:18" ht="17.25" x14ac:dyDescent="0.3">
      <c r="A190" s="31">
        <v>43340</v>
      </c>
      <c r="B190" s="2" t="s">
        <v>1036</v>
      </c>
      <c r="C190" s="85">
        <v>3</v>
      </c>
      <c r="D190" s="3">
        <v>10.0008</v>
      </c>
      <c r="E190" s="65">
        <v>100</v>
      </c>
      <c r="F190" s="3">
        <v>1</v>
      </c>
      <c r="G190" s="3">
        <v>17.8</v>
      </c>
      <c r="H190" s="3">
        <v>0.01</v>
      </c>
      <c r="I190" s="83">
        <v>5.2200000000000003E-2</v>
      </c>
      <c r="J190" s="3" t="s">
        <v>324</v>
      </c>
      <c r="K190" s="122" t="e">
        <f t="shared" si="9"/>
        <v>#DIV/0!</v>
      </c>
      <c r="L190" s="200" t="e">
        <f>+AVERAGE(K190:K191)</f>
        <v>#DIV/0!</v>
      </c>
      <c r="M190" s="201" t="e">
        <f>+STDEVA(K190:K191)</f>
        <v>#DIV/0!</v>
      </c>
      <c r="N190" s="201" t="e">
        <f>+(M190/L190)*100</f>
        <v>#DIV/0!</v>
      </c>
      <c r="O190" s="121"/>
      <c r="P190" s="121"/>
      <c r="Q190" s="3" t="s">
        <v>15</v>
      </c>
      <c r="R190" s="2" t="s">
        <v>14</v>
      </c>
    </row>
    <row r="191" spans="1:18" ht="17.25" x14ac:dyDescent="0.3">
      <c r="A191" s="31">
        <v>43340</v>
      </c>
      <c r="B191" s="2" t="s">
        <v>1036</v>
      </c>
      <c r="C191" s="85">
        <v>3</v>
      </c>
      <c r="D191" s="3">
        <v>10.0008</v>
      </c>
      <c r="E191" s="65">
        <v>100</v>
      </c>
      <c r="F191" s="3">
        <v>1</v>
      </c>
      <c r="G191" s="3">
        <v>17.8</v>
      </c>
      <c r="H191" s="3">
        <v>0.01</v>
      </c>
      <c r="I191" s="83">
        <v>5.2200000000000003E-2</v>
      </c>
      <c r="J191" s="3" t="s">
        <v>324</v>
      </c>
      <c r="K191" s="122" t="e">
        <f t="shared" si="9"/>
        <v>#DIV/0!</v>
      </c>
      <c r="L191" s="200"/>
      <c r="M191" s="201"/>
      <c r="N191" s="201"/>
      <c r="O191" s="121"/>
      <c r="P191" s="121"/>
      <c r="Q191" s="3" t="s">
        <v>15</v>
      </c>
      <c r="R191" s="2" t="s">
        <v>14</v>
      </c>
    </row>
    <row r="192" spans="1:18" ht="17.25" x14ac:dyDescent="0.3">
      <c r="A192" s="31">
        <v>43340</v>
      </c>
      <c r="B192" s="2" t="s">
        <v>1037</v>
      </c>
      <c r="C192" s="85">
        <v>4</v>
      </c>
      <c r="D192" s="3">
        <v>10.0002</v>
      </c>
      <c r="E192" s="65">
        <v>100</v>
      </c>
      <c r="F192" s="3">
        <v>1</v>
      </c>
      <c r="G192" s="3">
        <v>17.8</v>
      </c>
      <c r="H192" s="3">
        <v>0.01</v>
      </c>
      <c r="I192" s="83">
        <v>5.2200000000000003E-2</v>
      </c>
      <c r="J192" s="3">
        <v>24</v>
      </c>
      <c r="K192" s="122">
        <f t="shared" si="9"/>
        <v>2.1749565008699832</v>
      </c>
      <c r="L192" s="200">
        <f>+AVERAGE(K192:K193)</f>
        <v>2.1772268103698473</v>
      </c>
      <c r="M192" s="201">
        <f>+STDEVA(K192:K193)</f>
        <v>3.210702485492396E-3</v>
      </c>
      <c r="N192" s="201">
        <f>+(M192/L192)*100</f>
        <v>0.14746752475214062</v>
      </c>
      <c r="O192" s="121"/>
      <c r="P192" s="121"/>
      <c r="Q192" s="3" t="s">
        <v>15</v>
      </c>
      <c r="R192" s="2" t="s">
        <v>14</v>
      </c>
    </row>
    <row r="193" spans="1:18" ht="17.25" x14ac:dyDescent="0.3">
      <c r="A193" s="31">
        <v>43340</v>
      </c>
      <c r="B193" s="2" t="s">
        <v>1037</v>
      </c>
      <c r="C193" s="85">
        <v>4</v>
      </c>
      <c r="D193" s="3">
        <v>10.0002</v>
      </c>
      <c r="E193" s="65">
        <v>100</v>
      </c>
      <c r="F193" s="3">
        <v>1</v>
      </c>
      <c r="G193" s="3">
        <v>17.8</v>
      </c>
      <c r="H193" s="3">
        <v>0.01</v>
      </c>
      <c r="I193" s="83">
        <v>5.2200000000000003E-2</v>
      </c>
      <c r="J193" s="3">
        <v>23.95</v>
      </c>
      <c r="K193" s="122">
        <f t="shared" si="9"/>
        <v>2.1794971198697115</v>
      </c>
      <c r="L193" s="200"/>
      <c r="M193" s="201"/>
      <c r="N193" s="201"/>
      <c r="O193" s="121"/>
      <c r="P193" s="121"/>
      <c r="Q193" s="3" t="s">
        <v>15</v>
      </c>
      <c r="R193" s="2" t="s">
        <v>14</v>
      </c>
    </row>
    <row r="194" spans="1:18" ht="17.25" x14ac:dyDescent="0.3">
      <c r="A194" s="31">
        <v>43340</v>
      </c>
      <c r="B194" s="2" t="s">
        <v>1038</v>
      </c>
      <c r="C194" s="85">
        <v>4</v>
      </c>
      <c r="D194" s="3">
        <v>10.000299999999999</v>
      </c>
      <c r="E194" s="65">
        <v>100</v>
      </c>
      <c r="F194" s="3">
        <v>1</v>
      </c>
      <c r="G194" s="3">
        <v>17.8</v>
      </c>
      <c r="H194" s="3">
        <v>0.01</v>
      </c>
      <c r="I194" s="83">
        <v>5.2200000000000003E-2</v>
      </c>
      <c r="J194" s="3">
        <v>23.9</v>
      </c>
      <c r="K194" s="122">
        <f t="shared" si="9"/>
        <v>2.1840348973631216</v>
      </c>
      <c r="L194" s="200">
        <f>+AVERAGE(K194:K195)</f>
        <v>2.1886232059710276</v>
      </c>
      <c r="M194" s="201">
        <f>+STDEVA(K194:K195)</f>
        <v>6.4888482616534725E-3</v>
      </c>
      <c r="N194" s="201">
        <f>+(M194/L194)*100</f>
        <v>0.29648083068618297</v>
      </c>
      <c r="O194" s="121"/>
      <c r="P194" s="121"/>
      <c r="Q194" s="3" t="s">
        <v>15</v>
      </c>
      <c r="R194" s="2" t="s">
        <v>14</v>
      </c>
    </row>
    <row r="195" spans="1:18" ht="17.25" x14ac:dyDescent="0.3">
      <c r="A195" s="31">
        <v>43340</v>
      </c>
      <c r="B195" s="2" t="s">
        <v>1038</v>
      </c>
      <c r="C195" s="85">
        <v>4</v>
      </c>
      <c r="D195" s="3">
        <v>10.000299999999999</v>
      </c>
      <c r="E195" s="65">
        <v>100</v>
      </c>
      <c r="F195" s="3">
        <v>1</v>
      </c>
      <c r="G195" s="3">
        <v>17.8</v>
      </c>
      <c r="H195" s="3">
        <v>0.01</v>
      </c>
      <c r="I195" s="83">
        <v>5.2200000000000003E-2</v>
      </c>
      <c r="J195" s="3">
        <v>23.8</v>
      </c>
      <c r="K195" s="122">
        <f t="shared" si="9"/>
        <v>2.193211514578933</v>
      </c>
      <c r="L195" s="200"/>
      <c r="M195" s="201"/>
      <c r="N195" s="201"/>
      <c r="O195" s="121"/>
      <c r="P195" s="121"/>
      <c r="Q195" s="3" t="s">
        <v>15</v>
      </c>
      <c r="R195" s="2" t="s">
        <v>14</v>
      </c>
    </row>
    <row r="196" spans="1:18" ht="17.25" x14ac:dyDescent="0.3">
      <c r="A196" s="31">
        <v>43340</v>
      </c>
      <c r="B196" s="2" t="s">
        <v>1039</v>
      </c>
      <c r="C196" s="85">
        <v>5</v>
      </c>
      <c r="D196" s="3">
        <v>10.0001</v>
      </c>
      <c r="E196" s="65">
        <v>100</v>
      </c>
      <c r="F196" s="3">
        <v>1</v>
      </c>
      <c r="G196" s="3">
        <v>17.8</v>
      </c>
      <c r="H196" s="3">
        <v>0.01</v>
      </c>
      <c r="I196" s="83">
        <v>5.2200000000000003E-2</v>
      </c>
      <c r="J196" s="3" t="s">
        <v>324</v>
      </c>
      <c r="K196" s="122" t="e">
        <f t="shared" si="9"/>
        <v>#DIV/0!</v>
      </c>
      <c r="L196" s="200" t="e">
        <f>+AVERAGE(K196:K197)</f>
        <v>#DIV/0!</v>
      </c>
      <c r="M196" s="201" t="e">
        <f>+STDEVA(K196:K197)</f>
        <v>#DIV/0!</v>
      </c>
      <c r="N196" s="201" t="e">
        <f>+(M196/L196)*100</f>
        <v>#DIV/0!</v>
      </c>
      <c r="O196" s="121"/>
      <c r="P196" s="121"/>
      <c r="Q196" s="3" t="s">
        <v>15</v>
      </c>
      <c r="R196" s="2" t="s">
        <v>14</v>
      </c>
    </row>
    <row r="197" spans="1:18" ht="17.25" x14ac:dyDescent="0.3">
      <c r="A197" s="31">
        <v>43340</v>
      </c>
      <c r="B197" s="2" t="s">
        <v>1039</v>
      </c>
      <c r="C197" s="85">
        <v>5</v>
      </c>
      <c r="D197" s="3">
        <v>10.0001</v>
      </c>
      <c r="E197" s="65">
        <v>100</v>
      </c>
      <c r="F197" s="3">
        <v>1</v>
      </c>
      <c r="G197" s="3">
        <v>17.8</v>
      </c>
      <c r="H197" s="3">
        <v>0.01</v>
      </c>
      <c r="I197" s="83">
        <v>5.2200000000000003E-2</v>
      </c>
      <c r="J197" s="3" t="s">
        <v>324</v>
      </c>
      <c r="K197" s="122" t="e">
        <f t="shared" si="9"/>
        <v>#DIV/0!</v>
      </c>
      <c r="L197" s="200"/>
      <c r="M197" s="201"/>
      <c r="N197" s="201"/>
      <c r="O197" s="121"/>
      <c r="P197" s="121"/>
      <c r="Q197" s="3" t="s">
        <v>15</v>
      </c>
      <c r="R197" s="2" t="s">
        <v>14</v>
      </c>
    </row>
    <row r="198" spans="1:18" ht="17.25" x14ac:dyDescent="0.3">
      <c r="A198" s="31">
        <v>43340</v>
      </c>
      <c r="B198" s="2" t="s">
        <v>1040</v>
      </c>
      <c r="C198" s="85">
        <v>6</v>
      </c>
      <c r="D198" s="3">
        <v>10.0001</v>
      </c>
      <c r="E198" s="65">
        <v>100</v>
      </c>
      <c r="F198" s="3">
        <v>1</v>
      </c>
      <c r="G198" s="3">
        <v>17.8</v>
      </c>
      <c r="H198" s="3">
        <v>0.01</v>
      </c>
      <c r="I198" s="83">
        <v>5.2200000000000003E-2</v>
      </c>
      <c r="J198" s="3">
        <v>24.95</v>
      </c>
      <c r="K198" s="122">
        <f t="shared" si="9"/>
        <v>2.0921634471030037</v>
      </c>
      <c r="L198" s="200">
        <f>+AVERAGE(K198:K199)</f>
        <v>2.0942640128129471</v>
      </c>
      <c r="M198" s="201">
        <f>+STDEVA(K198:K199)</f>
        <v>2.970648515657405E-3</v>
      </c>
      <c r="N198" s="201">
        <f>+(M198/L198)*100</f>
        <v>0.14184689692811589</v>
      </c>
      <c r="O198" s="121"/>
      <c r="P198" s="121"/>
      <c r="Q198" s="3" t="s">
        <v>15</v>
      </c>
      <c r="R198" s="2" t="s">
        <v>14</v>
      </c>
    </row>
    <row r="199" spans="1:18" ht="17.25" x14ac:dyDescent="0.3">
      <c r="A199" s="31">
        <v>43340</v>
      </c>
      <c r="B199" s="2" t="s">
        <v>1040</v>
      </c>
      <c r="C199" s="85">
        <v>6</v>
      </c>
      <c r="D199" s="3">
        <v>10.0001</v>
      </c>
      <c r="E199" s="65">
        <v>100</v>
      </c>
      <c r="F199" s="3">
        <v>1</v>
      </c>
      <c r="G199" s="3">
        <v>17.8</v>
      </c>
      <c r="H199" s="3">
        <v>0.01</v>
      </c>
      <c r="I199" s="83">
        <v>5.2200000000000003E-2</v>
      </c>
      <c r="J199" s="3">
        <v>24.9</v>
      </c>
      <c r="K199" s="122">
        <f t="shared" si="9"/>
        <v>2.0963645785228899</v>
      </c>
      <c r="L199" s="200"/>
      <c r="M199" s="201"/>
      <c r="N199" s="201"/>
      <c r="O199" s="121"/>
      <c r="P199" s="121"/>
      <c r="Q199" s="3" t="s">
        <v>15</v>
      </c>
      <c r="R199" s="2" t="s">
        <v>14</v>
      </c>
    </row>
    <row r="200" spans="1:18" ht="17.25" x14ac:dyDescent="0.3">
      <c r="A200" s="31">
        <v>43340</v>
      </c>
      <c r="B200" s="2" t="s">
        <v>1041</v>
      </c>
      <c r="C200" s="85">
        <v>7</v>
      </c>
      <c r="D200" s="3">
        <v>10.000400000000001</v>
      </c>
      <c r="E200" s="65">
        <v>100</v>
      </c>
      <c r="F200" s="3">
        <v>1</v>
      </c>
      <c r="G200" s="3">
        <v>17.8</v>
      </c>
      <c r="H200" s="3">
        <v>0.01</v>
      </c>
      <c r="I200" s="83">
        <v>5.2200000000000003E-2</v>
      </c>
      <c r="J200" s="3">
        <v>48</v>
      </c>
      <c r="K200" s="122">
        <f t="shared" si="9"/>
        <v>1.0874565017399305</v>
      </c>
      <c r="L200" s="200">
        <f>+AVERAGE(K200:K201)</f>
        <v>1.0868907075142593</v>
      </c>
      <c r="M200" s="201">
        <f>+STDEVA(K200:K201)</f>
        <v>8.0015386745653353E-4</v>
      </c>
      <c r="N200" s="201">
        <f>+(M200/L200)*100</f>
        <v>7.3618613345816653E-2</v>
      </c>
      <c r="O200" s="121"/>
      <c r="P200" s="121"/>
      <c r="Q200" s="3" t="s">
        <v>15</v>
      </c>
      <c r="R200" s="2" t="s">
        <v>14</v>
      </c>
    </row>
    <row r="201" spans="1:18" ht="17.25" x14ac:dyDescent="0.3">
      <c r="A201" s="31">
        <v>43340</v>
      </c>
      <c r="B201" s="2" t="s">
        <v>1041</v>
      </c>
      <c r="C201" s="85">
        <v>7</v>
      </c>
      <c r="D201" s="3">
        <v>10.000400000000001</v>
      </c>
      <c r="E201" s="65">
        <v>100</v>
      </c>
      <c r="F201" s="3">
        <v>1</v>
      </c>
      <c r="G201" s="3">
        <v>17.8</v>
      </c>
      <c r="H201" s="3">
        <v>0.01</v>
      </c>
      <c r="I201" s="83">
        <v>5.2200000000000003E-2</v>
      </c>
      <c r="J201" s="3">
        <v>48.05</v>
      </c>
      <c r="K201" s="122">
        <f t="shared" si="9"/>
        <v>1.0863249132885882</v>
      </c>
      <c r="L201" s="200"/>
      <c r="M201" s="201"/>
      <c r="N201" s="201"/>
      <c r="O201" s="121"/>
      <c r="P201" s="121"/>
      <c r="Q201" s="3" t="s">
        <v>15</v>
      </c>
      <c r="R201" s="2" t="s">
        <v>14</v>
      </c>
    </row>
    <row r="202" spans="1:18" ht="17.25" x14ac:dyDescent="0.3">
      <c r="A202" s="31">
        <v>43340</v>
      </c>
      <c r="B202" s="2" t="s">
        <v>1042</v>
      </c>
      <c r="C202" s="85">
        <v>8</v>
      </c>
      <c r="D202" s="3">
        <v>10.000299999999999</v>
      </c>
      <c r="E202" s="65">
        <v>100</v>
      </c>
      <c r="F202" s="3">
        <v>1</v>
      </c>
      <c r="G202" s="3">
        <v>17.8</v>
      </c>
      <c r="H202" s="3">
        <v>0.01</v>
      </c>
      <c r="I202" s="83">
        <v>5.2200000000000003E-2</v>
      </c>
      <c r="J202" s="3">
        <v>21.9</v>
      </c>
      <c r="K202" s="122">
        <f t="shared" si="9"/>
        <v>2.3834901391314434</v>
      </c>
      <c r="L202" s="200">
        <f>+AVERAGE(K202:K203)</f>
        <v>2.3834901391314434</v>
      </c>
      <c r="M202" s="201">
        <f>+STDEVA(K202:K203)</f>
        <v>0</v>
      </c>
      <c r="N202" s="201">
        <f>+(M202/L202)*100</f>
        <v>0</v>
      </c>
      <c r="O202" s="121"/>
      <c r="P202" s="121"/>
      <c r="Q202" s="3" t="s">
        <v>15</v>
      </c>
      <c r="R202" s="2" t="s">
        <v>14</v>
      </c>
    </row>
    <row r="203" spans="1:18" ht="17.25" x14ac:dyDescent="0.3">
      <c r="A203" s="31">
        <v>43340</v>
      </c>
      <c r="B203" s="2" t="s">
        <v>1042</v>
      </c>
      <c r="C203" s="85">
        <v>8</v>
      </c>
      <c r="D203" s="3">
        <v>10.000299999999999</v>
      </c>
      <c r="E203" s="65">
        <v>100</v>
      </c>
      <c r="F203" s="3">
        <v>1</v>
      </c>
      <c r="G203" s="3">
        <v>17.8</v>
      </c>
      <c r="H203" s="3">
        <v>0.01</v>
      </c>
      <c r="I203" s="83">
        <v>5.2200000000000003E-2</v>
      </c>
      <c r="J203" s="3">
        <v>21.9</v>
      </c>
      <c r="K203" s="122">
        <f t="shared" si="9"/>
        <v>2.3834901391314434</v>
      </c>
      <c r="L203" s="200"/>
      <c r="M203" s="201"/>
      <c r="N203" s="201"/>
      <c r="O203" s="121"/>
      <c r="P203" s="121"/>
      <c r="Q203" s="3" t="s">
        <v>15</v>
      </c>
      <c r="R203" s="2" t="s">
        <v>14</v>
      </c>
    </row>
    <row r="204" spans="1:18" ht="17.25" x14ac:dyDescent="0.3">
      <c r="A204" s="31">
        <v>43340</v>
      </c>
      <c r="B204" s="2" t="s">
        <v>1043</v>
      </c>
      <c r="C204" s="85">
        <v>9</v>
      </c>
      <c r="D204" s="3">
        <v>10.0002</v>
      </c>
      <c r="E204" s="65">
        <v>100</v>
      </c>
      <c r="F204" s="3">
        <v>1</v>
      </c>
      <c r="G204" s="3">
        <v>17.8</v>
      </c>
      <c r="H204" s="3">
        <v>0.01</v>
      </c>
      <c r="I204" s="83">
        <v>5.2200000000000003E-2</v>
      </c>
      <c r="J204" s="3">
        <v>68.400000000000006</v>
      </c>
      <c r="K204" s="122">
        <f t="shared" si="9"/>
        <v>0.7631426318842045</v>
      </c>
      <c r="L204" s="200">
        <f>+AVERAGE(K204:K205)</f>
        <v>0.76342176232746872</v>
      </c>
      <c r="M204" s="201">
        <f>+STDEVA(K204:K205)</f>
        <v>3.9475005853547283E-4</v>
      </c>
      <c r="N204" s="201">
        <f>+(M204/L204)*100</f>
        <v>5.1707991311642137E-2</v>
      </c>
      <c r="O204" s="121"/>
      <c r="P204" s="121"/>
      <c r="Q204" s="3" t="s">
        <v>15</v>
      </c>
      <c r="R204" s="2" t="s">
        <v>14</v>
      </c>
    </row>
    <row r="205" spans="1:18" ht="17.25" x14ac:dyDescent="0.3">
      <c r="A205" s="31">
        <v>43340</v>
      </c>
      <c r="B205" s="2" t="s">
        <v>1043</v>
      </c>
      <c r="C205" s="85">
        <v>9</v>
      </c>
      <c r="D205" s="3">
        <v>10.0002</v>
      </c>
      <c r="E205" s="65">
        <v>100</v>
      </c>
      <c r="F205" s="3">
        <v>1</v>
      </c>
      <c r="G205" s="3">
        <v>17.8</v>
      </c>
      <c r="H205" s="3">
        <v>0.01</v>
      </c>
      <c r="I205" s="83">
        <v>5.2200000000000003E-2</v>
      </c>
      <c r="J205" s="3">
        <v>68.349999999999994</v>
      </c>
      <c r="K205" s="122">
        <f t="shared" si="9"/>
        <v>0.76370089277073294</v>
      </c>
      <c r="L205" s="200"/>
      <c r="M205" s="201"/>
      <c r="N205" s="201"/>
      <c r="O205" s="121"/>
      <c r="P205" s="121"/>
      <c r="Q205" s="3" t="s">
        <v>15</v>
      </c>
      <c r="R205" s="2" t="s">
        <v>14</v>
      </c>
    </row>
    <row r="206" spans="1:18" ht="17.25" x14ac:dyDescent="0.3">
      <c r="A206" s="31">
        <v>43340</v>
      </c>
      <c r="B206" s="2" t="s">
        <v>1044</v>
      </c>
      <c r="C206" s="85">
        <v>10</v>
      </c>
      <c r="D206" s="3">
        <v>10.000400000000001</v>
      </c>
      <c r="E206" s="65">
        <v>100</v>
      </c>
      <c r="F206" s="3">
        <v>1</v>
      </c>
      <c r="G206" s="3">
        <v>17.8</v>
      </c>
      <c r="H206" s="3">
        <v>0.01</v>
      </c>
      <c r="I206" s="83">
        <v>5.2200000000000003E-2</v>
      </c>
      <c r="J206" s="3">
        <v>18.5</v>
      </c>
      <c r="K206" s="122">
        <f t="shared" si="9"/>
        <v>2.8215087612711702</v>
      </c>
      <c r="L206" s="200">
        <f>+AVERAGE(K206:K207)</f>
        <v>2.8253319438745192</v>
      </c>
      <c r="M206" s="201">
        <f>+STDEVA(K206:K207)</f>
        <v>5.4067966890847443E-3</v>
      </c>
      <c r="N206" s="201">
        <f>+(M206/L206)*100</f>
        <v>0.19136854700584785</v>
      </c>
      <c r="O206" s="121"/>
      <c r="P206" s="121"/>
      <c r="Q206" s="3" t="s">
        <v>15</v>
      </c>
      <c r="R206" s="2" t="s">
        <v>14</v>
      </c>
    </row>
    <row r="207" spans="1:18" ht="17.25" x14ac:dyDescent="0.3">
      <c r="A207" s="31">
        <v>43340</v>
      </c>
      <c r="B207" s="2" t="s">
        <v>1044</v>
      </c>
      <c r="C207" s="85">
        <v>10</v>
      </c>
      <c r="D207" s="3">
        <v>10.000400000000001</v>
      </c>
      <c r="E207" s="65">
        <v>100</v>
      </c>
      <c r="F207" s="3">
        <v>1</v>
      </c>
      <c r="G207" s="3">
        <v>17.8</v>
      </c>
      <c r="H207" s="3">
        <v>0.01</v>
      </c>
      <c r="I207" s="83">
        <v>5.2200000000000003E-2</v>
      </c>
      <c r="J207" s="3">
        <v>18.45</v>
      </c>
      <c r="K207" s="122">
        <f t="shared" si="9"/>
        <v>2.8291551264778678</v>
      </c>
      <c r="L207" s="200"/>
      <c r="M207" s="201"/>
      <c r="N207" s="201"/>
      <c r="O207" s="121"/>
      <c r="P207" s="121"/>
      <c r="Q207" s="3" t="s">
        <v>15</v>
      </c>
      <c r="R207" s="2" t="s">
        <v>14</v>
      </c>
    </row>
    <row r="208" spans="1:18" ht="17.25" x14ac:dyDescent="0.3">
      <c r="A208" s="31">
        <v>43340</v>
      </c>
      <c r="B208" s="2" t="s">
        <v>1045</v>
      </c>
      <c r="C208" s="85">
        <v>11</v>
      </c>
      <c r="D208" s="3">
        <v>10.000500000000001</v>
      </c>
      <c r="E208" s="65">
        <v>100</v>
      </c>
      <c r="F208" s="3">
        <v>1</v>
      </c>
      <c r="G208" s="3">
        <v>17.8</v>
      </c>
      <c r="H208" s="3">
        <v>0.01</v>
      </c>
      <c r="I208" s="83">
        <v>5.2200000000000003E-2</v>
      </c>
      <c r="J208" s="3">
        <v>18.5</v>
      </c>
      <c r="K208" s="122">
        <f t="shared" si="9"/>
        <v>2.8214805475942417</v>
      </c>
      <c r="L208" s="200">
        <f>+AVERAGE(K208:K209)</f>
        <v>2.8138959224663003</v>
      </c>
      <c r="M208" s="201">
        <f>+STDEVA(K208:K209)</f>
        <v>1.0726279721450566E-2</v>
      </c>
      <c r="N208" s="201">
        <f>+(M208/L208)*100</f>
        <v>0.38118963945366124</v>
      </c>
      <c r="O208" s="121"/>
      <c r="P208" s="121"/>
      <c r="Q208" s="3" t="s">
        <v>15</v>
      </c>
      <c r="R208" s="2" t="s">
        <v>14</v>
      </c>
    </row>
    <row r="209" spans="1:18" ht="17.25" x14ac:dyDescent="0.3">
      <c r="A209" s="31">
        <v>43340</v>
      </c>
      <c r="B209" s="2" t="s">
        <v>1045</v>
      </c>
      <c r="C209" s="85">
        <v>11</v>
      </c>
      <c r="D209" s="3">
        <v>10.000500000000001</v>
      </c>
      <c r="E209" s="65">
        <v>100</v>
      </c>
      <c r="F209" s="3">
        <v>1</v>
      </c>
      <c r="G209" s="3">
        <v>17.8</v>
      </c>
      <c r="H209" s="3">
        <v>0.01</v>
      </c>
      <c r="I209" s="83">
        <v>5.2200000000000003E-2</v>
      </c>
      <c r="J209" s="3">
        <v>18.600000000000001</v>
      </c>
      <c r="K209" s="122">
        <f t="shared" si="9"/>
        <v>2.8063112973383588</v>
      </c>
      <c r="L209" s="200"/>
      <c r="M209" s="201"/>
      <c r="N209" s="201"/>
      <c r="O209" s="121"/>
      <c r="P209" s="121"/>
      <c r="Q209" s="3" t="s">
        <v>15</v>
      </c>
      <c r="R209" s="2" t="s">
        <v>14</v>
      </c>
    </row>
    <row r="210" spans="1:18" ht="17.25" x14ac:dyDescent="0.3">
      <c r="A210" s="31">
        <v>43340</v>
      </c>
      <c r="B210" s="2" t="s">
        <v>1046</v>
      </c>
      <c r="C210" s="85">
        <v>12</v>
      </c>
      <c r="D210" s="3">
        <v>10.0002</v>
      </c>
      <c r="E210" s="65">
        <v>100</v>
      </c>
      <c r="F210" s="3">
        <v>1</v>
      </c>
      <c r="G210" s="3">
        <v>17.8</v>
      </c>
      <c r="H210" s="3">
        <v>0.01</v>
      </c>
      <c r="I210" s="83">
        <v>5.2200000000000003E-2</v>
      </c>
      <c r="J210" s="3">
        <v>23.5</v>
      </c>
      <c r="K210" s="122">
        <f t="shared" si="9"/>
        <v>2.221232171101259</v>
      </c>
      <c r="L210" s="200">
        <f>+AVERAGE(K210:K211)</f>
        <v>2.221232171101259</v>
      </c>
      <c r="M210" s="201">
        <f>+STDEVA(K210:K211)</f>
        <v>0</v>
      </c>
      <c r="N210" s="201">
        <f>+(M210/L210)*100</f>
        <v>0</v>
      </c>
      <c r="O210" s="121"/>
      <c r="P210" s="121"/>
      <c r="Q210" s="3" t="s">
        <v>15</v>
      </c>
      <c r="R210" s="2" t="s">
        <v>14</v>
      </c>
    </row>
    <row r="211" spans="1:18" ht="17.25" x14ac:dyDescent="0.3">
      <c r="A211" s="31">
        <v>43340</v>
      </c>
      <c r="B211" s="2" t="s">
        <v>1046</v>
      </c>
      <c r="C211" s="85">
        <v>12</v>
      </c>
      <c r="D211" s="3">
        <v>10.0002</v>
      </c>
      <c r="E211" s="65">
        <v>100</v>
      </c>
      <c r="F211" s="3">
        <v>1</v>
      </c>
      <c r="G211" s="3">
        <v>17.8</v>
      </c>
      <c r="H211" s="3">
        <v>0.01</v>
      </c>
      <c r="I211" s="83">
        <v>5.2200000000000003E-2</v>
      </c>
      <c r="J211" s="3">
        <v>23.5</v>
      </c>
      <c r="K211" s="122">
        <f t="shared" si="9"/>
        <v>2.221232171101259</v>
      </c>
      <c r="L211" s="200"/>
      <c r="M211" s="201"/>
      <c r="N211" s="201"/>
      <c r="O211" s="121"/>
      <c r="P211" s="121"/>
      <c r="Q211" s="3" t="s">
        <v>15</v>
      </c>
      <c r="R211" s="2" t="s">
        <v>14</v>
      </c>
    </row>
    <row r="212" spans="1:18" ht="17.25" x14ac:dyDescent="0.3">
      <c r="A212" s="31">
        <v>43340</v>
      </c>
      <c r="B212" s="2" t="s">
        <v>1047</v>
      </c>
      <c r="C212" s="85">
        <v>13</v>
      </c>
      <c r="D212" s="3">
        <v>10.0001</v>
      </c>
      <c r="E212" s="65">
        <v>100</v>
      </c>
      <c r="F212" s="3">
        <v>1</v>
      </c>
      <c r="G212" s="3">
        <v>17.8</v>
      </c>
      <c r="H212" s="3">
        <v>0.01</v>
      </c>
      <c r="I212" s="83">
        <v>5.2200000000000003E-2</v>
      </c>
      <c r="J212" s="3">
        <v>23.5</v>
      </c>
      <c r="K212" s="122">
        <f t="shared" si="9"/>
        <v>2.2212543832008489</v>
      </c>
      <c r="L212" s="200">
        <f>+AVERAGE(K212:K213)</f>
        <v>2.2212543832008489</v>
      </c>
      <c r="M212" s="201">
        <f>+STDEVA(K212:K213)</f>
        <v>0</v>
      </c>
      <c r="N212" s="201">
        <f>+(M212/L212)*100</f>
        <v>0</v>
      </c>
      <c r="O212" s="121"/>
      <c r="P212" s="121"/>
      <c r="Q212" s="3" t="s">
        <v>15</v>
      </c>
      <c r="R212" s="2" t="s">
        <v>14</v>
      </c>
    </row>
    <row r="213" spans="1:18" ht="17.25" x14ac:dyDescent="0.3">
      <c r="A213" s="31">
        <v>43340</v>
      </c>
      <c r="B213" s="2" t="s">
        <v>1047</v>
      </c>
      <c r="C213" s="85">
        <v>13</v>
      </c>
      <c r="D213" s="3">
        <v>10.0001</v>
      </c>
      <c r="E213" s="65">
        <v>100</v>
      </c>
      <c r="F213" s="3">
        <v>1</v>
      </c>
      <c r="G213" s="3">
        <v>17.8</v>
      </c>
      <c r="H213" s="3">
        <v>0.01</v>
      </c>
      <c r="I213" s="83">
        <v>5.2200000000000003E-2</v>
      </c>
      <c r="J213" s="3">
        <v>23.5</v>
      </c>
      <c r="K213" s="122">
        <f t="shared" si="9"/>
        <v>2.2212543832008489</v>
      </c>
      <c r="L213" s="200"/>
      <c r="M213" s="201"/>
      <c r="N213" s="201"/>
      <c r="O213" s="121"/>
      <c r="P213" s="121"/>
      <c r="Q213" s="3" t="s">
        <v>15</v>
      </c>
      <c r="R213" s="2" t="s">
        <v>14</v>
      </c>
    </row>
    <row r="214" spans="1:18" ht="17.25" x14ac:dyDescent="0.3">
      <c r="A214" s="31">
        <v>43340</v>
      </c>
      <c r="B214" s="8" t="s">
        <v>862</v>
      </c>
      <c r="C214" s="85" t="s">
        <v>10</v>
      </c>
      <c r="D214" s="3">
        <v>50.000100000000003</v>
      </c>
      <c r="E214" s="65">
        <v>100</v>
      </c>
      <c r="F214" s="3">
        <v>1</v>
      </c>
      <c r="G214" s="3">
        <v>17.8</v>
      </c>
      <c r="H214" s="3">
        <v>0.01</v>
      </c>
      <c r="I214" s="83">
        <v>5.2200000000000003E-2</v>
      </c>
      <c r="J214" s="3">
        <v>100</v>
      </c>
      <c r="K214" s="122">
        <f t="shared" si="9"/>
        <v>0.1043997912004176</v>
      </c>
      <c r="L214" s="200">
        <f>+AVERAGE(K214:K215)</f>
        <v>0.1043997912004176</v>
      </c>
      <c r="M214" s="201">
        <f>+STDEVA(K214:K215)</f>
        <v>0</v>
      </c>
      <c r="N214" s="201">
        <f>+(M214/L214)*100</f>
        <v>0</v>
      </c>
      <c r="O214" s="121"/>
      <c r="P214" s="121"/>
      <c r="Q214" s="3" t="s">
        <v>15</v>
      </c>
      <c r="R214" s="2" t="s">
        <v>14</v>
      </c>
    </row>
    <row r="215" spans="1:18" ht="17.25" x14ac:dyDescent="0.3">
      <c r="A215" s="31">
        <v>43340</v>
      </c>
      <c r="B215" s="8" t="s">
        <v>862</v>
      </c>
      <c r="C215" s="85" t="s">
        <v>10</v>
      </c>
      <c r="D215" s="3">
        <v>50.000100000000003</v>
      </c>
      <c r="E215" s="65">
        <v>100</v>
      </c>
      <c r="F215" s="3">
        <v>1</v>
      </c>
      <c r="G215" s="3">
        <v>17.8</v>
      </c>
      <c r="H215" s="3">
        <v>0.01</v>
      </c>
      <c r="I215" s="83">
        <v>5.2200000000000003E-2</v>
      </c>
      <c r="J215" s="3">
        <v>100</v>
      </c>
      <c r="K215" s="122">
        <f t="shared" si="9"/>
        <v>0.1043997912004176</v>
      </c>
      <c r="L215" s="200"/>
      <c r="M215" s="201"/>
      <c r="N215" s="201"/>
      <c r="O215" s="121"/>
      <c r="P215" s="121"/>
      <c r="Q215" s="3" t="s">
        <v>15</v>
      </c>
      <c r="R215" s="2" t="s">
        <v>14</v>
      </c>
    </row>
    <row r="216" spans="1:18" ht="17.25" x14ac:dyDescent="0.3">
      <c r="A216" s="31">
        <v>43340</v>
      </c>
      <c r="B216" s="2" t="s">
        <v>1048</v>
      </c>
      <c r="C216" s="85" t="s">
        <v>10</v>
      </c>
      <c r="D216" s="3">
        <v>2.0003000000000002</v>
      </c>
      <c r="E216" s="65">
        <v>100</v>
      </c>
      <c r="F216" s="3">
        <v>2</v>
      </c>
      <c r="G216" s="3">
        <v>17.8</v>
      </c>
      <c r="H216" s="3">
        <v>0.01</v>
      </c>
      <c r="I216" s="83">
        <v>5.2200000000000003E-2</v>
      </c>
      <c r="J216" s="3">
        <v>26.6</v>
      </c>
      <c r="K216" s="122">
        <f t="shared" si="9"/>
        <v>19.621116982828511</v>
      </c>
      <c r="L216" s="200">
        <f>+AVERAGE(K216:K217)</f>
        <v>19.639592610872608</v>
      </c>
      <c r="M216" s="201">
        <f>+STDEVA(K216:K217)</f>
        <v>2.6128483753322947E-2</v>
      </c>
      <c r="N216" s="201">
        <f>+(M216/L216)*100</f>
        <v>0.13303984594292473</v>
      </c>
      <c r="O216" s="121"/>
      <c r="P216" s="121"/>
      <c r="Q216" s="3" t="s">
        <v>15</v>
      </c>
      <c r="R216" s="2" t="s">
        <v>14</v>
      </c>
    </row>
    <row r="217" spans="1:18" ht="17.25" x14ac:dyDescent="0.3">
      <c r="A217" s="31">
        <v>43340</v>
      </c>
      <c r="B217" s="2" t="s">
        <v>1048</v>
      </c>
      <c r="C217" s="85" t="s">
        <v>10</v>
      </c>
      <c r="D217" s="3">
        <v>2.0003000000000002</v>
      </c>
      <c r="E217" s="65">
        <v>100</v>
      </c>
      <c r="F217" s="3">
        <v>2</v>
      </c>
      <c r="G217" s="3">
        <v>17.8</v>
      </c>
      <c r="H217" s="3">
        <v>0.01</v>
      </c>
      <c r="I217" s="83">
        <v>5.2200000000000003E-2</v>
      </c>
      <c r="J217" s="3">
        <v>26.55</v>
      </c>
      <c r="K217" s="122">
        <f t="shared" si="9"/>
        <v>19.658068238916705</v>
      </c>
      <c r="L217" s="200"/>
      <c r="M217" s="201"/>
      <c r="N217" s="201"/>
      <c r="O217" s="121"/>
      <c r="P217" s="121"/>
      <c r="Q217" s="3" t="s">
        <v>15</v>
      </c>
      <c r="R217" s="2" t="s">
        <v>14</v>
      </c>
    </row>
    <row r="218" spans="1:18" ht="17.25" x14ac:dyDescent="0.3">
      <c r="A218" s="31">
        <v>43340</v>
      </c>
      <c r="B218" s="2" t="s">
        <v>1036</v>
      </c>
      <c r="C218" s="85">
        <v>3</v>
      </c>
      <c r="D218" s="3">
        <v>50.000399999999999</v>
      </c>
      <c r="E218" s="65">
        <v>100</v>
      </c>
      <c r="F218" s="3">
        <v>1</v>
      </c>
      <c r="G218" s="3">
        <v>17.8</v>
      </c>
      <c r="H218" s="3">
        <v>0.01</v>
      </c>
      <c r="I218" s="83">
        <v>5.2200000000000003E-2</v>
      </c>
      <c r="J218" s="3" t="s">
        <v>324</v>
      </c>
      <c r="K218" s="122" t="e">
        <f t="shared" si="9"/>
        <v>#DIV/0!</v>
      </c>
      <c r="L218" s="200" t="e">
        <f>+AVERAGE(K218:K219)</f>
        <v>#DIV/0!</v>
      </c>
      <c r="M218" s="201" t="e">
        <f>+STDEVA(K218:K219)</f>
        <v>#DIV/0!</v>
      </c>
      <c r="N218" s="201" t="e">
        <f>+(M218/L218)*100</f>
        <v>#DIV/0!</v>
      </c>
      <c r="O218" s="2" t="s">
        <v>1049</v>
      </c>
      <c r="P218" s="2"/>
      <c r="Q218" s="3" t="s">
        <v>15</v>
      </c>
      <c r="R218" s="2" t="s">
        <v>14</v>
      </c>
    </row>
    <row r="219" spans="1:18" ht="17.25" x14ac:dyDescent="0.3">
      <c r="A219" s="31">
        <v>43340</v>
      </c>
      <c r="B219" s="2" t="s">
        <v>1036</v>
      </c>
      <c r="C219" s="85">
        <v>3</v>
      </c>
      <c r="D219" s="3">
        <v>50.000399999999999</v>
      </c>
      <c r="E219" s="65">
        <v>100</v>
      </c>
      <c r="F219" s="3">
        <v>1</v>
      </c>
      <c r="G219" s="3">
        <v>17.8</v>
      </c>
      <c r="H219" s="3">
        <v>0.01</v>
      </c>
      <c r="I219" s="83">
        <v>5.2200000000000003E-2</v>
      </c>
      <c r="J219" s="3" t="s">
        <v>324</v>
      </c>
      <c r="K219" s="122" t="e">
        <f t="shared" si="9"/>
        <v>#DIV/0!</v>
      </c>
      <c r="L219" s="200"/>
      <c r="M219" s="201"/>
      <c r="N219" s="201"/>
      <c r="O219" s="2" t="s">
        <v>1049</v>
      </c>
      <c r="P219" s="2"/>
      <c r="Q219" s="3" t="s">
        <v>15</v>
      </c>
      <c r="R219" s="2" t="s">
        <v>14</v>
      </c>
    </row>
    <row r="220" spans="1:18" ht="17.25" x14ac:dyDescent="0.3">
      <c r="A220" s="31">
        <v>43340</v>
      </c>
      <c r="B220" s="2" t="s">
        <v>1039</v>
      </c>
      <c r="C220" s="85">
        <v>5</v>
      </c>
      <c r="D220" s="3">
        <v>20.000399999999999</v>
      </c>
      <c r="E220" s="65">
        <v>100</v>
      </c>
      <c r="F220" s="3">
        <v>1</v>
      </c>
      <c r="G220" s="3">
        <v>17.8</v>
      </c>
      <c r="H220" s="3">
        <v>0.01</v>
      </c>
      <c r="I220" s="83">
        <v>5.2200000000000003E-2</v>
      </c>
      <c r="J220" s="3">
        <v>65.5</v>
      </c>
      <c r="K220" s="122">
        <f t="shared" si="9"/>
        <v>0.39846531313648542</v>
      </c>
      <c r="L220" s="200">
        <f>+AVERAGE(K220:K221)</f>
        <v>0.39846531313648542</v>
      </c>
      <c r="M220" s="201">
        <f>+STDEVA(K220:K221)</f>
        <v>0</v>
      </c>
      <c r="N220" s="201">
        <f>+(M220/L220)*100</f>
        <v>0</v>
      </c>
      <c r="O220" s="121"/>
      <c r="P220" s="121"/>
      <c r="Q220" s="3" t="s">
        <v>15</v>
      </c>
      <c r="R220" s="2" t="s">
        <v>14</v>
      </c>
    </row>
    <row r="221" spans="1:18" ht="17.25" x14ac:dyDescent="0.3">
      <c r="A221" s="31">
        <v>43340</v>
      </c>
      <c r="B221" s="2" t="s">
        <v>1039</v>
      </c>
      <c r="C221" s="85">
        <v>5</v>
      </c>
      <c r="D221" s="3">
        <v>20.000399999999999</v>
      </c>
      <c r="E221" s="65">
        <v>100</v>
      </c>
      <c r="F221" s="3">
        <v>1</v>
      </c>
      <c r="G221" s="3">
        <v>17.8</v>
      </c>
      <c r="H221" s="3">
        <v>0.01</v>
      </c>
      <c r="I221" s="83">
        <v>5.2200000000000003E-2</v>
      </c>
      <c r="J221" s="3">
        <v>65.5</v>
      </c>
      <c r="K221" s="122">
        <f t="shared" si="9"/>
        <v>0.39846531313648542</v>
      </c>
      <c r="L221" s="200"/>
      <c r="M221" s="201"/>
      <c r="N221" s="201"/>
      <c r="O221" s="121"/>
      <c r="P221" s="121"/>
      <c r="Q221" s="3" t="s">
        <v>15</v>
      </c>
      <c r="R221" s="2" t="s">
        <v>14</v>
      </c>
    </row>
    <row r="222" spans="1:18" ht="17.25" x14ac:dyDescent="0.3">
      <c r="A222" s="31">
        <v>43340</v>
      </c>
      <c r="B222" s="2" t="s">
        <v>1045</v>
      </c>
      <c r="C222" s="85">
        <v>11</v>
      </c>
      <c r="D222" s="3">
        <v>10.000299999999999</v>
      </c>
      <c r="E222" s="65">
        <v>100</v>
      </c>
      <c r="F222" s="3">
        <v>1</v>
      </c>
      <c r="G222" s="3">
        <v>17.8</v>
      </c>
      <c r="H222" s="3">
        <v>0.01</v>
      </c>
      <c r="I222" s="83">
        <v>5.2200000000000003E-2</v>
      </c>
      <c r="J222" s="3">
        <v>18.350000000000001</v>
      </c>
      <c r="K222" s="122">
        <f t="shared" si="9"/>
        <v>2.8446013104620489</v>
      </c>
      <c r="L222" s="200">
        <f>+AVERAGE(K222:K223)</f>
        <v>2.8446013104620489</v>
      </c>
      <c r="M222" s="201">
        <f>+STDEVA(K222:K223)</f>
        <v>0</v>
      </c>
      <c r="N222" s="201">
        <f>+(M222/L222)*100</f>
        <v>0</v>
      </c>
      <c r="O222" s="121"/>
      <c r="P222" s="121"/>
      <c r="Q222" s="3" t="s">
        <v>15</v>
      </c>
      <c r="R222" s="2" t="s">
        <v>14</v>
      </c>
    </row>
    <row r="223" spans="1:18" ht="17.25" x14ac:dyDescent="0.3">
      <c r="A223" s="31">
        <v>43340</v>
      </c>
      <c r="B223" s="2" t="s">
        <v>1045</v>
      </c>
      <c r="C223" s="85">
        <v>11</v>
      </c>
      <c r="D223" s="3">
        <v>10.000299999999999</v>
      </c>
      <c r="E223" s="65">
        <v>100</v>
      </c>
      <c r="F223" s="3">
        <v>1</v>
      </c>
      <c r="G223" s="3">
        <v>17.8</v>
      </c>
      <c r="H223" s="3">
        <v>0.01</v>
      </c>
      <c r="I223" s="83">
        <v>5.2200000000000003E-2</v>
      </c>
      <c r="J223" s="3">
        <v>18.350000000000001</v>
      </c>
      <c r="K223" s="122">
        <f t="shared" si="9"/>
        <v>2.8446013104620489</v>
      </c>
      <c r="L223" s="200"/>
      <c r="M223" s="201"/>
      <c r="N223" s="201"/>
      <c r="O223" s="121"/>
      <c r="P223" s="121"/>
      <c r="Q223" s="3" t="s">
        <v>15</v>
      </c>
      <c r="R223" s="2" t="s">
        <v>14</v>
      </c>
    </row>
    <row r="224" spans="1:18" ht="17.25" x14ac:dyDescent="0.3">
      <c r="A224" s="61">
        <v>43339</v>
      </c>
      <c r="B224" s="2" t="s">
        <v>1052</v>
      </c>
      <c r="C224" s="3" t="s">
        <v>1050</v>
      </c>
      <c r="D224" s="3">
        <v>1.0008999999999999</v>
      </c>
      <c r="E224" s="3">
        <v>100</v>
      </c>
      <c r="F224" s="3">
        <v>2</v>
      </c>
      <c r="G224" s="3">
        <v>17.399999999999999</v>
      </c>
      <c r="H224" s="3">
        <v>0.01</v>
      </c>
      <c r="I224" s="83">
        <v>5.2200000000000003E-2</v>
      </c>
      <c r="J224" s="3">
        <v>24.4</v>
      </c>
      <c r="K224" s="122">
        <f t="shared" si="9"/>
        <v>42.748411675393797</v>
      </c>
      <c r="L224" s="200">
        <f>+AVERAGE(K224:K225)</f>
        <v>42.661170018913396</v>
      </c>
      <c r="M224" s="201">
        <f>+STDEVA(K224:K225)</f>
        <v>0.12337833379847309</v>
      </c>
      <c r="N224" s="201">
        <f>+(M224/L224)*100</f>
        <v>0.28920522747916794</v>
      </c>
      <c r="O224" s="121"/>
      <c r="P224" s="121"/>
      <c r="Q224" s="3" t="s">
        <v>15</v>
      </c>
      <c r="R224" s="2" t="s">
        <v>14</v>
      </c>
    </row>
    <row r="225" spans="1:18" ht="17.25" x14ac:dyDescent="0.3">
      <c r="A225" s="61">
        <v>43339</v>
      </c>
      <c r="B225" s="2" t="s">
        <v>1052</v>
      </c>
      <c r="C225" s="3" t="s">
        <v>1050</v>
      </c>
      <c r="D225" s="3">
        <v>1.0008999999999999</v>
      </c>
      <c r="E225" s="3">
        <v>100</v>
      </c>
      <c r="F225" s="3">
        <v>2</v>
      </c>
      <c r="G225" s="3">
        <v>17.399999999999999</v>
      </c>
      <c r="H225" s="3">
        <v>0.01</v>
      </c>
      <c r="I225" s="83">
        <v>5.2200000000000003E-2</v>
      </c>
      <c r="J225" s="3">
        <v>24.5</v>
      </c>
      <c r="K225" s="122">
        <f t="shared" si="9"/>
        <v>42.573928362433001</v>
      </c>
      <c r="L225" s="200"/>
      <c r="M225" s="201"/>
      <c r="N225" s="201"/>
      <c r="O225" s="121"/>
      <c r="P225" s="121"/>
      <c r="Q225" s="3" t="s">
        <v>15</v>
      </c>
      <c r="R225" s="2" t="s">
        <v>14</v>
      </c>
    </row>
    <row r="226" spans="1:18" ht="17.25" x14ac:dyDescent="0.3">
      <c r="A226" s="61">
        <v>43339</v>
      </c>
      <c r="B226" s="2" t="s">
        <v>1053</v>
      </c>
      <c r="C226" s="3" t="s">
        <v>1051</v>
      </c>
      <c r="D226" s="3">
        <v>1.0008999999999999</v>
      </c>
      <c r="E226" s="3">
        <v>100</v>
      </c>
      <c r="F226" s="3">
        <v>2</v>
      </c>
      <c r="G226" s="3">
        <v>17.399999999999999</v>
      </c>
      <c r="H226" s="3">
        <v>0.01</v>
      </c>
      <c r="I226" s="83">
        <v>5.2200000000000003E-2</v>
      </c>
      <c r="J226" s="3">
        <v>49.95</v>
      </c>
      <c r="K226" s="122">
        <f t="shared" si="9"/>
        <v>20.882107004596769</v>
      </c>
      <c r="L226" s="200">
        <f>+AVERAGE(K226:K227)</f>
        <v>20.871665951094471</v>
      </c>
      <c r="M226" s="201">
        <f>+STDEVA(K226:K227)</f>
        <v>1.4765879468415233E-2</v>
      </c>
      <c r="N226" s="201">
        <f>+(M226/L226)*100</f>
        <v>7.0746051144235267E-2</v>
      </c>
      <c r="O226" s="121"/>
      <c r="P226" s="201">
        <f>+AVERAGE(L226:L228)</f>
        <v>20.765832975547234</v>
      </c>
      <c r="Q226" s="3" t="s">
        <v>15</v>
      </c>
      <c r="R226" s="2" t="s">
        <v>14</v>
      </c>
    </row>
    <row r="227" spans="1:18" ht="17.25" x14ac:dyDescent="0.3">
      <c r="A227" s="61">
        <v>43339</v>
      </c>
      <c r="B227" s="2" t="s">
        <v>1053</v>
      </c>
      <c r="C227" s="3" t="s">
        <v>1051</v>
      </c>
      <c r="D227" s="3">
        <v>1.0008999999999999</v>
      </c>
      <c r="E227" s="3">
        <v>100</v>
      </c>
      <c r="F227" s="3">
        <v>2</v>
      </c>
      <c r="G227" s="3">
        <v>17.399999999999999</v>
      </c>
      <c r="H227" s="3">
        <v>0.01</v>
      </c>
      <c r="I227" s="83">
        <v>5.2200000000000003E-2</v>
      </c>
      <c r="J227" s="3">
        <v>50</v>
      </c>
      <c r="K227" s="122">
        <f t="shared" si="9"/>
        <v>20.861224897592169</v>
      </c>
      <c r="L227" s="200"/>
      <c r="M227" s="201"/>
      <c r="N227" s="201"/>
      <c r="O227" s="121"/>
      <c r="P227" s="225"/>
      <c r="Q227" s="3" t="s">
        <v>15</v>
      </c>
      <c r="R227" s="2" t="s">
        <v>14</v>
      </c>
    </row>
    <row r="228" spans="1:18" ht="15.75" customHeight="1" x14ac:dyDescent="0.3">
      <c r="A228" s="61">
        <v>43339</v>
      </c>
      <c r="B228" s="2" t="s">
        <v>1053</v>
      </c>
      <c r="C228" s="3" t="s">
        <v>1051</v>
      </c>
      <c r="D228" s="3">
        <v>1.0007999999999999</v>
      </c>
      <c r="E228" s="3">
        <v>100</v>
      </c>
      <c r="F228" s="3">
        <v>2</v>
      </c>
      <c r="G228" s="3">
        <v>17.399999999999999</v>
      </c>
      <c r="H228" s="3">
        <v>0.01</v>
      </c>
      <c r="I228" s="83">
        <v>5.2200000000000003E-2</v>
      </c>
      <c r="J228" s="3">
        <v>50.5</v>
      </c>
      <c r="K228" s="122">
        <f t="shared" si="9"/>
        <v>20.656741933186126</v>
      </c>
      <c r="L228" s="143">
        <v>20.66</v>
      </c>
      <c r="M228" s="2"/>
      <c r="N228" s="2"/>
      <c r="O228" s="2" t="s">
        <v>863</v>
      </c>
      <c r="P228" s="225"/>
      <c r="Q228" s="3" t="s">
        <v>15</v>
      </c>
      <c r="R228" s="2" t="s">
        <v>14</v>
      </c>
    </row>
    <row r="229" spans="1:18" ht="15" customHeight="1" x14ac:dyDescent="0.3">
      <c r="A229" s="61">
        <v>43339</v>
      </c>
      <c r="B229" s="2" t="s">
        <v>862</v>
      </c>
      <c r="C229" s="3" t="s">
        <v>1051</v>
      </c>
      <c r="D229" s="2" t="s">
        <v>10</v>
      </c>
      <c r="E229" s="3">
        <v>100</v>
      </c>
      <c r="F229" s="3">
        <v>2</v>
      </c>
      <c r="G229" s="3">
        <v>17.399999999999999</v>
      </c>
      <c r="H229" s="3">
        <v>0.01</v>
      </c>
      <c r="I229" s="83">
        <v>5.2200000000000003E-2</v>
      </c>
      <c r="J229" s="2" t="s">
        <v>324</v>
      </c>
      <c r="K229" s="122" t="e">
        <f t="shared" si="9"/>
        <v>#DIV/0!</v>
      </c>
      <c r="L229" s="143" t="s">
        <v>10</v>
      </c>
      <c r="M229" s="143" t="s">
        <v>10</v>
      </c>
      <c r="N229" s="143" t="s">
        <v>10</v>
      </c>
      <c r="O229" s="121"/>
      <c r="P229" s="121"/>
      <c r="Q229" s="3" t="s">
        <v>15</v>
      </c>
      <c r="R229" s="2" t="s">
        <v>14</v>
      </c>
    </row>
    <row r="230" spans="1:18" ht="17.25" x14ac:dyDescent="0.3">
      <c r="A230" s="61">
        <v>43343</v>
      </c>
      <c r="B230" s="2" t="s">
        <v>1072</v>
      </c>
      <c r="C230" s="3" t="s">
        <v>1073</v>
      </c>
      <c r="D230" s="3">
        <v>20.000299999999999</v>
      </c>
      <c r="E230" s="3">
        <v>100</v>
      </c>
      <c r="F230" s="3">
        <v>2</v>
      </c>
      <c r="G230" s="3">
        <v>17.63</v>
      </c>
      <c r="H230" s="3">
        <v>0.01</v>
      </c>
      <c r="I230" s="83">
        <v>5.2200000000000003E-2</v>
      </c>
      <c r="J230" s="3">
        <v>38.549999999999997</v>
      </c>
      <c r="K230" s="122">
        <f t="shared" si="9"/>
        <v>1.3540652921334586</v>
      </c>
      <c r="L230" s="200">
        <f t="shared" ref="L230:L246" si="10">+AVERAGE(K230:K231)</f>
        <v>1.3549445553101687</v>
      </c>
      <c r="M230" s="201">
        <f>+STDEVA(K230:K231)</f>
        <v>1.2434659093984533E-3</v>
      </c>
      <c r="N230" s="201">
        <f>+(M230/L230)*100</f>
        <v>9.1772457000190974E-2</v>
      </c>
      <c r="O230" s="121"/>
      <c r="P230" s="121"/>
      <c r="Q230" s="3" t="s">
        <v>15</v>
      </c>
      <c r="R230" s="2" t="s">
        <v>14</v>
      </c>
    </row>
    <row r="231" spans="1:18" ht="17.25" x14ac:dyDescent="0.3">
      <c r="A231" s="61">
        <v>43343</v>
      </c>
      <c r="B231" s="2" t="s">
        <v>1072</v>
      </c>
      <c r="C231" s="3" t="s">
        <v>1073</v>
      </c>
      <c r="D231" s="3">
        <v>20.000299999999999</v>
      </c>
      <c r="E231" s="3">
        <v>100</v>
      </c>
      <c r="F231" s="3">
        <v>2</v>
      </c>
      <c r="G231" s="3">
        <v>17.63</v>
      </c>
      <c r="H231" s="3">
        <v>0.01</v>
      </c>
      <c r="I231" s="83">
        <v>5.2200000000000003E-2</v>
      </c>
      <c r="J231" s="3">
        <v>38.5</v>
      </c>
      <c r="K231" s="122">
        <f t="shared" si="9"/>
        <v>1.3558238184868785</v>
      </c>
      <c r="L231" s="200"/>
      <c r="M231" s="201"/>
      <c r="N231" s="201"/>
      <c r="O231" s="121"/>
      <c r="P231" s="121"/>
      <c r="Q231" s="3" t="s">
        <v>15</v>
      </c>
      <c r="R231" s="2" t="s">
        <v>14</v>
      </c>
    </row>
    <row r="232" spans="1:18" ht="17.25" x14ac:dyDescent="0.3">
      <c r="A232" s="61">
        <v>43343</v>
      </c>
      <c r="B232" s="2" t="s">
        <v>1075</v>
      </c>
      <c r="C232" s="3" t="s">
        <v>1074</v>
      </c>
      <c r="D232" s="3">
        <v>20.000399999999999</v>
      </c>
      <c r="E232" s="3">
        <v>100</v>
      </c>
      <c r="F232" s="3">
        <v>2</v>
      </c>
      <c r="G232" s="3">
        <v>17.63</v>
      </c>
      <c r="H232" s="3">
        <v>0.01</v>
      </c>
      <c r="I232" s="83">
        <v>5.2200000000000003E-2</v>
      </c>
      <c r="J232" s="3">
        <v>89.05</v>
      </c>
      <c r="K232" s="122">
        <f t="shared" si="9"/>
        <v>0.58617581157641319</v>
      </c>
      <c r="L232" s="200">
        <f t="shared" si="10"/>
        <v>0.5860113402488103</v>
      </c>
      <c r="M232" s="201">
        <f>+STDEVA(K232:K233)</f>
        <v>2.3259758211743498E-4</v>
      </c>
      <c r="N232" s="201">
        <f>+(M232/L232)*100</f>
        <v>3.9691652045279198E-2</v>
      </c>
      <c r="O232" s="121"/>
      <c r="P232" s="203">
        <f>+AVERAGE(L232:L235)</f>
        <v>0.59516286536870444</v>
      </c>
      <c r="Q232" s="3" t="s">
        <v>15</v>
      </c>
      <c r="R232" s="2" t="s">
        <v>14</v>
      </c>
    </row>
    <row r="233" spans="1:18" ht="17.25" x14ac:dyDescent="0.3">
      <c r="A233" s="61">
        <v>43343</v>
      </c>
      <c r="B233" s="2" t="s">
        <v>1075</v>
      </c>
      <c r="C233" s="3" t="s">
        <v>1074</v>
      </c>
      <c r="D233" s="3">
        <v>20.000399999999999</v>
      </c>
      <c r="E233" s="3">
        <v>100</v>
      </c>
      <c r="F233" s="3">
        <v>2</v>
      </c>
      <c r="G233" s="3">
        <v>17.63</v>
      </c>
      <c r="H233" s="3">
        <v>0.01</v>
      </c>
      <c r="I233" s="83">
        <v>5.2200000000000003E-2</v>
      </c>
      <c r="J233" s="3">
        <v>89.1</v>
      </c>
      <c r="K233" s="122">
        <f t="shared" si="9"/>
        <v>0.58584686892120752</v>
      </c>
      <c r="L233" s="200"/>
      <c r="M233" s="201"/>
      <c r="N233" s="201"/>
      <c r="O233" s="121"/>
      <c r="P233" s="201"/>
      <c r="Q233" s="3" t="s">
        <v>15</v>
      </c>
      <c r="R233" s="2" t="s">
        <v>14</v>
      </c>
    </row>
    <row r="234" spans="1:18" ht="17.25" x14ac:dyDescent="0.3">
      <c r="A234" s="61">
        <v>43343</v>
      </c>
      <c r="B234" s="2" t="s">
        <v>1075</v>
      </c>
      <c r="C234" s="3" t="s">
        <v>1074</v>
      </c>
      <c r="D234" s="3">
        <v>20.000900000000001</v>
      </c>
      <c r="E234" s="3">
        <v>100</v>
      </c>
      <c r="F234" s="3">
        <v>2</v>
      </c>
      <c r="G234" s="3">
        <v>17.63</v>
      </c>
      <c r="H234" s="3">
        <v>0.01</v>
      </c>
      <c r="I234" s="83">
        <v>5.2200000000000003E-2</v>
      </c>
      <c r="J234" s="3">
        <v>86.35</v>
      </c>
      <c r="K234" s="122">
        <f t="shared" si="9"/>
        <v>0.60448930058714823</v>
      </c>
      <c r="L234" s="200">
        <f t="shared" si="10"/>
        <v>0.6043143904885987</v>
      </c>
      <c r="M234" s="201">
        <f>+STDEVA(K234:K235)</f>
        <v>2.4736023356475994E-4</v>
      </c>
      <c r="N234" s="201">
        <f>+(M234/L234)*100</f>
        <v>4.0932375177226026E-2</v>
      </c>
      <c r="O234" s="202" t="s">
        <v>863</v>
      </c>
      <c r="P234" s="201"/>
      <c r="Q234" s="3" t="s">
        <v>15</v>
      </c>
      <c r="R234" s="2" t="s">
        <v>14</v>
      </c>
    </row>
    <row r="235" spans="1:18" ht="17.25" x14ac:dyDescent="0.3">
      <c r="A235" s="61">
        <v>43343</v>
      </c>
      <c r="B235" s="2" t="s">
        <v>1075</v>
      </c>
      <c r="C235" s="3" t="s">
        <v>1074</v>
      </c>
      <c r="D235" s="3">
        <v>20.000900000000001</v>
      </c>
      <c r="E235" s="3">
        <v>100</v>
      </c>
      <c r="F235" s="3">
        <v>2</v>
      </c>
      <c r="G235" s="3">
        <v>17.63</v>
      </c>
      <c r="H235" s="3">
        <v>0.01</v>
      </c>
      <c r="I235" s="83">
        <v>5.2200000000000003E-2</v>
      </c>
      <c r="J235" s="3">
        <v>86.4</v>
      </c>
      <c r="K235" s="122">
        <f t="shared" si="9"/>
        <v>0.60413948039004917</v>
      </c>
      <c r="L235" s="200"/>
      <c r="M235" s="201"/>
      <c r="N235" s="201"/>
      <c r="O235" s="202"/>
      <c r="P235" s="201"/>
      <c r="Q235" s="3" t="s">
        <v>15</v>
      </c>
      <c r="R235" s="2" t="s">
        <v>14</v>
      </c>
    </row>
    <row r="236" spans="1:18" ht="17.25" x14ac:dyDescent="0.3">
      <c r="A236" s="61">
        <v>43343</v>
      </c>
      <c r="B236" s="2" t="s">
        <v>1084</v>
      </c>
      <c r="C236" s="3" t="s">
        <v>1083</v>
      </c>
      <c r="D236" s="3">
        <v>20.000299999999999</v>
      </c>
      <c r="E236" s="3">
        <v>100</v>
      </c>
      <c r="F236" s="3">
        <v>2</v>
      </c>
      <c r="G236" s="3">
        <v>17.63</v>
      </c>
      <c r="H236" s="3">
        <v>0.01</v>
      </c>
      <c r="I236" s="83">
        <v>5.2200000000000003E-2</v>
      </c>
      <c r="J236" s="3">
        <v>41.95</v>
      </c>
      <c r="K236" s="122">
        <f t="shared" si="9"/>
        <v>1.2443198334146559</v>
      </c>
      <c r="L236" s="200">
        <f t="shared" si="10"/>
        <v>1.2428402616745673</v>
      </c>
      <c r="M236" s="201">
        <f>+STDEVA(K236:K237)</f>
        <v>2.0924304213372786E-3</v>
      </c>
      <c r="N236" s="201">
        <f>+(M236/L236)*100</f>
        <v>0.1683587574253507</v>
      </c>
      <c r="O236" s="121"/>
      <c r="P236" s="121"/>
      <c r="Q236" s="3" t="s">
        <v>15</v>
      </c>
      <c r="R236" s="2" t="s">
        <v>14</v>
      </c>
    </row>
    <row r="237" spans="1:18" ht="17.25" x14ac:dyDescent="0.3">
      <c r="A237" s="61">
        <v>43343</v>
      </c>
      <c r="B237" s="2" t="s">
        <v>1084</v>
      </c>
      <c r="C237" s="3" t="s">
        <v>1083</v>
      </c>
      <c r="D237" s="3">
        <v>20.000299999999999</v>
      </c>
      <c r="E237" s="3">
        <v>100</v>
      </c>
      <c r="F237" s="3">
        <v>2</v>
      </c>
      <c r="G237" s="3">
        <v>17.63</v>
      </c>
      <c r="H237" s="3">
        <v>0.01</v>
      </c>
      <c r="I237" s="83">
        <v>5.2200000000000003E-2</v>
      </c>
      <c r="J237" s="3">
        <v>42.05</v>
      </c>
      <c r="K237" s="122">
        <f t="shared" si="9"/>
        <v>1.2413606899344787</v>
      </c>
      <c r="L237" s="200"/>
      <c r="M237" s="201"/>
      <c r="N237" s="201"/>
      <c r="O237" s="121"/>
      <c r="P237" s="121"/>
      <c r="Q237" s="3" t="s">
        <v>15</v>
      </c>
      <c r="R237" s="2" t="s">
        <v>14</v>
      </c>
    </row>
    <row r="238" spans="1:18" ht="17.25" x14ac:dyDescent="0.3">
      <c r="A238" s="61">
        <v>43343</v>
      </c>
      <c r="B238" s="2" t="s">
        <v>1077</v>
      </c>
      <c r="C238" s="3" t="s">
        <v>1076</v>
      </c>
      <c r="D238" s="3">
        <v>5.0004</v>
      </c>
      <c r="E238" s="3">
        <v>100</v>
      </c>
      <c r="F238" s="3">
        <v>4</v>
      </c>
      <c r="G238" s="3">
        <v>17.63</v>
      </c>
      <c r="H238" s="3">
        <v>0.01</v>
      </c>
      <c r="I238" s="83">
        <v>5.2200000000000003E-2</v>
      </c>
      <c r="J238" s="3">
        <v>15.55</v>
      </c>
      <c r="K238" s="122">
        <f t="shared" si="9"/>
        <v>26.85315721366085</v>
      </c>
      <c r="L238" s="200">
        <f t="shared" si="10"/>
        <v>26.767364379112415</v>
      </c>
      <c r="M238" s="201">
        <f>+STDEVA(K238:K239)</f>
        <v>0.12132939017283079</v>
      </c>
      <c r="N238" s="201">
        <f>+(M238/L238)*100</f>
        <v>0.45327357768368365</v>
      </c>
      <c r="O238" s="121"/>
      <c r="P238" s="121"/>
      <c r="Q238" s="3" t="s">
        <v>15</v>
      </c>
      <c r="R238" s="2" t="s">
        <v>14</v>
      </c>
    </row>
    <row r="239" spans="1:18" ht="17.25" x14ac:dyDescent="0.3">
      <c r="A239" s="61">
        <v>43343</v>
      </c>
      <c r="B239" s="2" t="s">
        <v>1077</v>
      </c>
      <c r="C239" s="3" t="s">
        <v>1076</v>
      </c>
      <c r="D239" s="3">
        <v>5.0004</v>
      </c>
      <c r="E239" s="3">
        <v>100</v>
      </c>
      <c r="F239" s="3">
        <v>4</v>
      </c>
      <c r="G239" s="3">
        <v>17.63</v>
      </c>
      <c r="H239" s="3">
        <v>0.01</v>
      </c>
      <c r="I239" s="83">
        <v>5.2200000000000003E-2</v>
      </c>
      <c r="J239" s="3">
        <v>15.65</v>
      </c>
      <c r="K239" s="122">
        <f t="shared" si="9"/>
        <v>26.681571544563976</v>
      </c>
      <c r="L239" s="200"/>
      <c r="M239" s="201"/>
      <c r="N239" s="201"/>
      <c r="O239" s="121"/>
      <c r="P239" s="121"/>
      <c r="Q239" s="3" t="s">
        <v>15</v>
      </c>
      <c r="R239" s="2" t="s">
        <v>14</v>
      </c>
    </row>
    <row r="240" spans="1:18" ht="17.25" x14ac:dyDescent="0.3">
      <c r="A240" s="61">
        <v>43343</v>
      </c>
      <c r="B240" s="2" t="s">
        <v>1078</v>
      </c>
      <c r="C240" s="3" t="s">
        <v>1079</v>
      </c>
      <c r="D240" s="3">
        <v>5.0008999999999997</v>
      </c>
      <c r="E240" s="3">
        <v>100</v>
      </c>
      <c r="F240" s="3">
        <v>8</v>
      </c>
      <c r="G240" s="3">
        <v>17.63</v>
      </c>
      <c r="H240" s="3">
        <v>0.01</v>
      </c>
      <c r="I240" s="83">
        <v>5.2200000000000003E-2</v>
      </c>
      <c r="J240" s="3">
        <v>17.149999999999999</v>
      </c>
      <c r="K240" s="122">
        <f t="shared" si="9"/>
        <v>48.690944084875234</v>
      </c>
      <c r="L240" s="200">
        <f t="shared" si="10"/>
        <v>48.620172363821638</v>
      </c>
      <c r="M240" s="201">
        <f>+STDEVA(K240:K241)</f>
        <v>0.10008632774648611</v>
      </c>
      <c r="N240" s="201">
        <f>+(M240/L240)*100</f>
        <v>0.20585350252884035</v>
      </c>
      <c r="O240" s="121"/>
      <c r="P240" s="121"/>
      <c r="Q240" s="3" t="s">
        <v>15</v>
      </c>
      <c r="R240" s="2" t="s">
        <v>14</v>
      </c>
    </row>
    <row r="241" spans="1:18" ht="17.25" x14ac:dyDescent="0.3">
      <c r="A241" s="61">
        <v>43343</v>
      </c>
      <c r="B241" s="2" t="s">
        <v>1078</v>
      </c>
      <c r="C241" s="3" t="s">
        <v>1079</v>
      </c>
      <c r="D241" s="3">
        <v>5.0008999999999997</v>
      </c>
      <c r="E241" s="3">
        <v>100</v>
      </c>
      <c r="F241" s="3">
        <v>8</v>
      </c>
      <c r="G241" s="3">
        <v>17.63</v>
      </c>
      <c r="H241" s="3">
        <v>0.01</v>
      </c>
      <c r="I241" s="83">
        <v>5.2200000000000003E-2</v>
      </c>
      <c r="J241" s="3">
        <v>17.2</v>
      </c>
      <c r="K241" s="122">
        <f t="shared" si="9"/>
        <v>48.549400642768035</v>
      </c>
      <c r="L241" s="200"/>
      <c r="M241" s="201"/>
      <c r="N241" s="201"/>
      <c r="O241" s="121"/>
      <c r="P241" s="121"/>
      <c r="Q241" s="3" t="s">
        <v>15</v>
      </c>
      <c r="R241" s="2" t="s">
        <v>14</v>
      </c>
    </row>
    <row r="242" spans="1:18" ht="17.25" x14ac:dyDescent="0.3">
      <c r="A242" s="61">
        <v>43343</v>
      </c>
      <c r="B242" s="2" t="s">
        <v>1080</v>
      </c>
      <c r="C242" s="3" t="s">
        <v>1085</v>
      </c>
      <c r="D242" s="3">
        <v>5.0007000000000001</v>
      </c>
      <c r="E242" s="3">
        <v>100</v>
      </c>
      <c r="F242" s="3">
        <v>8</v>
      </c>
      <c r="G242" s="3">
        <v>17.63</v>
      </c>
      <c r="H242" s="3">
        <v>0.01</v>
      </c>
      <c r="I242" s="83">
        <v>5.2200000000000003E-2</v>
      </c>
      <c r="J242" s="3">
        <v>17</v>
      </c>
      <c r="K242" s="122">
        <f t="shared" si="9"/>
        <v>49.122534609860509</v>
      </c>
      <c r="L242" s="200">
        <f>+AVERAGE(K242:K243)</f>
        <v>49.050507433013209</v>
      </c>
      <c r="M242" s="201">
        <f>+STDEVA(K242:K243)</f>
        <v>0.10186181035690173</v>
      </c>
      <c r="N242" s="201">
        <f>+(M242/L242)*100</f>
        <v>0.20766718977578633</v>
      </c>
      <c r="O242" s="121"/>
      <c r="P242" s="201">
        <f>+AVERAGE(L242:L245)</f>
        <v>48.906318554327896</v>
      </c>
      <c r="Q242" s="3" t="s">
        <v>15</v>
      </c>
      <c r="R242" s="2" t="s">
        <v>14</v>
      </c>
    </row>
    <row r="243" spans="1:18" ht="17.25" x14ac:dyDescent="0.3">
      <c r="A243" s="61">
        <v>43343</v>
      </c>
      <c r="B243" s="2" t="s">
        <v>1080</v>
      </c>
      <c r="C243" s="3" t="s">
        <v>1085</v>
      </c>
      <c r="D243" s="3">
        <v>5.0007000000000001</v>
      </c>
      <c r="E243" s="3">
        <v>100</v>
      </c>
      <c r="F243" s="3">
        <v>8</v>
      </c>
      <c r="G243" s="3">
        <v>17.63</v>
      </c>
      <c r="H243" s="3">
        <v>0.01</v>
      </c>
      <c r="I243" s="83">
        <v>5.2200000000000003E-2</v>
      </c>
      <c r="J243" s="3">
        <v>17.05</v>
      </c>
      <c r="K243" s="122">
        <f t="shared" si="9"/>
        <v>48.978480256165902</v>
      </c>
      <c r="L243" s="200"/>
      <c r="M243" s="201"/>
      <c r="N243" s="201"/>
      <c r="O243" s="121"/>
      <c r="P243" s="201"/>
      <c r="Q243" s="3" t="s">
        <v>15</v>
      </c>
      <c r="R243" s="2" t="s">
        <v>14</v>
      </c>
    </row>
    <row r="244" spans="1:18" ht="17.25" x14ac:dyDescent="0.3">
      <c r="A244" s="61">
        <v>43343</v>
      </c>
      <c r="B244" s="2" t="s">
        <v>1080</v>
      </c>
      <c r="C244" s="3" t="s">
        <v>1085</v>
      </c>
      <c r="D244" s="3">
        <v>5.0008999999999997</v>
      </c>
      <c r="E244" s="3">
        <v>100</v>
      </c>
      <c r="F244" s="3">
        <v>8</v>
      </c>
      <c r="G244" s="3">
        <v>17.63</v>
      </c>
      <c r="H244" s="3">
        <v>0.01</v>
      </c>
      <c r="I244" s="83">
        <v>5.2200000000000003E-2</v>
      </c>
      <c r="J244" s="3">
        <v>17.100000000000001</v>
      </c>
      <c r="K244" s="122">
        <f t="shared" si="9"/>
        <v>48.833315266409947</v>
      </c>
      <c r="L244" s="200">
        <f t="shared" si="10"/>
        <v>48.762129675642591</v>
      </c>
      <c r="M244" s="201">
        <f>+STDEVA(K244:K245)</f>
        <v>0.10067162790873674</v>
      </c>
      <c r="N244" s="201">
        <f>+(M244/L244)*100</f>
        <v>0.20645453465299263</v>
      </c>
      <c r="O244" s="202" t="s">
        <v>863</v>
      </c>
      <c r="P244" s="201"/>
      <c r="Q244" s="3" t="s">
        <v>15</v>
      </c>
      <c r="R244" s="2" t="s">
        <v>14</v>
      </c>
    </row>
    <row r="245" spans="1:18" ht="17.25" x14ac:dyDescent="0.3">
      <c r="A245" s="61">
        <v>43343</v>
      </c>
      <c r="B245" s="2" t="s">
        <v>1080</v>
      </c>
      <c r="C245" s="3" t="s">
        <v>1085</v>
      </c>
      <c r="D245" s="3">
        <v>5.0008999999999997</v>
      </c>
      <c r="E245" s="3">
        <v>100</v>
      </c>
      <c r="F245" s="3">
        <v>8</v>
      </c>
      <c r="G245" s="3">
        <v>17.63</v>
      </c>
      <c r="H245" s="3">
        <v>0.01</v>
      </c>
      <c r="I245" s="83">
        <v>5.2200000000000003E-2</v>
      </c>
      <c r="J245" s="3">
        <v>17.149999999999999</v>
      </c>
      <c r="K245" s="122">
        <f t="shared" si="9"/>
        <v>48.690944084875234</v>
      </c>
      <c r="L245" s="200"/>
      <c r="M245" s="201"/>
      <c r="N245" s="201"/>
      <c r="O245" s="202"/>
      <c r="P245" s="201"/>
      <c r="Q245" s="3" t="s">
        <v>15</v>
      </c>
      <c r="R245" s="2" t="s">
        <v>14</v>
      </c>
    </row>
    <row r="246" spans="1:18" ht="17.25" x14ac:dyDescent="0.3">
      <c r="A246" s="61">
        <v>43343</v>
      </c>
      <c r="B246" s="2" t="s">
        <v>1082</v>
      </c>
      <c r="C246" s="3" t="s">
        <v>1081</v>
      </c>
      <c r="D246" s="3">
        <v>15.000299999999999</v>
      </c>
      <c r="E246" s="3">
        <v>100</v>
      </c>
      <c r="F246" s="3">
        <v>16</v>
      </c>
      <c r="G246" s="3">
        <v>17.63</v>
      </c>
      <c r="H246" s="3">
        <v>0.01</v>
      </c>
      <c r="I246" s="83">
        <v>5.2200000000000003E-2</v>
      </c>
      <c r="J246" s="3">
        <v>17.45</v>
      </c>
      <c r="K246" s="122">
        <f>(I246/J246)*(E246/D246)*100*F246</f>
        <v>31.907671302161354</v>
      </c>
      <c r="L246" s="200">
        <f t="shared" si="10"/>
        <v>31.816766255716448</v>
      </c>
      <c r="M246" s="201">
        <f>+STDEVA(K246:K247)</f>
        <v>0.12855914957054207</v>
      </c>
      <c r="N246" s="201">
        <f>+(M246/L246)*100</f>
        <v>0.40406101782089227</v>
      </c>
      <c r="O246" s="121"/>
      <c r="P246" s="121"/>
      <c r="Q246" s="3" t="s">
        <v>15</v>
      </c>
      <c r="R246" s="2" t="s">
        <v>14</v>
      </c>
    </row>
    <row r="247" spans="1:18" ht="17.25" x14ac:dyDescent="0.3">
      <c r="A247" s="61">
        <v>43343</v>
      </c>
      <c r="B247" s="2" t="s">
        <v>1082</v>
      </c>
      <c r="C247" s="3" t="s">
        <v>1081</v>
      </c>
      <c r="D247" s="3">
        <v>15.000299999999999</v>
      </c>
      <c r="E247" s="3">
        <v>100</v>
      </c>
      <c r="F247" s="3">
        <v>16</v>
      </c>
      <c r="G247" s="3">
        <v>17.63</v>
      </c>
      <c r="H247" s="3">
        <v>0.01</v>
      </c>
      <c r="I247" s="83">
        <v>5.2200000000000003E-2</v>
      </c>
      <c r="J247" s="3">
        <v>17.55</v>
      </c>
      <c r="K247" s="122">
        <f t="shared" si="9"/>
        <v>31.725861209271542</v>
      </c>
      <c r="L247" s="200"/>
      <c r="M247" s="201"/>
      <c r="N247" s="201"/>
      <c r="O247" s="121"/>
      <c r="P247" s="121"/>
      <c r="Q247" s="3" t="s">
        <v>15</v>
      </c>
      <c r="R247" s="2" t="s">
        <v>14</v>
      </c>
    </row>
    <row r="248" spans="1:18" ht="20.25" x14ac:dyDescent="0.3">
      <c r="A248" s="61">
        <v>43343</v>
      </c>
      <c r="B248" s="2" t="s">
        <v>862</v>
      </c>
      <c r="C248" s="3" t="s">
        <v>10</v>
      </c>
      <c r="D248" s="2" t="s">
        <v>10</v>
      </c>
      <c r="E248" s="3">
        <v>100</v>
      </c>
      <c r="F248" s="3">
        <v>2</v>
      </c>
      <c r="G248" s="3">
        <v>17.63</v>
      </c>
      <c r="H248" s="3">
        <v>0.01</v>
      </c>
      <c r="I248" s="83">
        <v>5.2200000000000003E-2</v>
      </c>
      <c r="J248" s="2" t="s">
        <v>324</v>
      </c>
      <c r="K248" s="122" t="e">
        <f t="shared" si="9"/>
        <v>#DIV/0!</v>
      </c>
      <c r="L248" s="138" t="e">
        <f>+AVERAGE(K248:K248)</f>
        <v>#DIV/0!</v>
      </c>
      <c r="M248" s="2" t="s">
        <v>10</v>
      </c>
      <c r="N248" s="2" t="s">
        <v>10</v>
      </c>
      <c r="O248" s="121"/>
      <c r="P248" s="121"/>
      <c r="Q248" s="3" t="s">
        <v>15</v>
      </c>
      <c r="R248" s="2" t="s">
        <v>14</v>
      </c>
    </row>
    <row r="249" spans="1:18" ht="17.25" x14ac:dyDescent="0.3">
      <c r="A249" s="61">
        <v>43354</v>
      </c>
      <c r="B249" s="2" t="s">
        <v>859</v>
      </c>
      <c r="C249" s="3" t="s">
        <v>860</v>
      </c>
      <c r="D249" s="3">
        <v>5.0008999999999997</v>
      </c>
      <c r="E249" s="3">
        <v>100</v>
      </c>
      <c r="F249" s="3">
        <v>4</v>
      </c>
      <c r="G249" s="3">
        <v>17.63</v>
      </c>
      <c r="H249" s="3">
        <v>0.01</v>
      </c>
      <c r="I249" s="3">
        <f t="shared" ref="I249:I256" si="11">G249*H249*15/50</f>
        <v>5.289E-2</v>
      </c>
      <c r="J249" s="3">
        <v>17.55</v>
      </c>
      <c r="K249" s="122">
        <f t="shared" si="9"/>
        <v>24.105062798098054</v>
      </c>
      <c r="L249" s="200">
        <f>+AVERAGE(K249:K250)</f>
        <v>24.243996877625996</v>
      </c>
      <c r="M249" s="201">
        <f>+STDEVA(K249:K250)</f>
        <v>0.19648245954423824</v>
      </c>
      <c r="N249" s="201">
        <f>+(M249/L249)*100</f>
        <v>0.81043757156051099</v>
      </c>
      <c r="O249" s="121"/>
      <c r="P249" s="201">
        <f>+AVERAGE(L249:L252)</f>
        <v>24.261014878160015</v>
      </c>
      <c r="Q249" s="3" t="s">
        <v>15</v>
      </c>
      <c r="R249" s="2" t="s">
        <v>14</v>
      </c>
    </row>
    <row r="250" spans="1:18" ht="17.25" x14ac:dyDescent="0.3">
      <c r="A250" s="61">
        <v>43354</v>
      </c>
      <c r="B250" s="2" t="s">
        <v>859</v>
      </c>
      <c r="C250" s="3" t="s">
        <v>860</v>
      </c>
      <c r="D250" s="3">
        <v>5.0008999999999997</v>
      </c>
      <c r="E250" s="3">
        <v>100</v>
      </c>
      <c r="F250" s="3">
        <v>4</v>
      </c>
      <c r="G250" s="3">
        <v>17.63</v>
      </c>
      <c r="H250" s="3">
        <v>0.01</v>
      </c>
      <c r="I250" s="3">
        <f t="shared" si="11"/>
        <v>5.289E-2</v>
      </c>
      <c r="J250" s="3">
        <v>17.350000000000001</v>
      </c>
      <c r="K250" s="122">
        <f>+(I250/AVERAGE(J250:J250))*(E250/D250)*F250*100</f>
        <v>24.382930957153938</v>
      </c>
      <c r="L250" s="200"/>
      <c r="M250" s="201"/>
      <c r="N250" s="201"/>
      <c r="O250" s="121"/>
      <c r="P250" s="201"/>
      <c r="Q250" s="3" t="s">
        <v>15</v>
      </c>
      <c r="R250" s="2" t="s">
        <v>14</v>
      </c>
    </row>
    <row r="251" spans="1:18" ht="17.25" x14ac:dyDescent="0.3">
      <c r="A251" s="61">
        <v>43354</v>
      </c>
      <c r="B251" s="2" t="s">
        <v>859</v>
      </c>
      <c r="C251" s="3" t="s">
        <v>860</v>
      </c>
      <c r="D251" s="3">
        <v>5.0008999999999997</v>
      </c>
      <c r="E251" s="3">
        <v>100</v>
      </c>
      <c r="F251" s="3">
        <v>4</v>
      </c>
      <c r="G251" s="3">
        <v>17.63</v>
      </c>
      <c r="H251" s="3">
        <v>0.01</v>
      </c>
      <c r="I251" s="3">
        <f t="shared" si="11"/>
        <v>5.289E-2</v>
      </c>
      <c r="J251" s="3">
        <v>17.45</v>
      </c>
      <c r="K251" s="122">
        <f>+(I251/AVERAGE(J251:J251))*(E251/D251)*F251*100</f>
        <v>24.243200693789163</v>
      </c>
      <c r="L251" s="200">
        <f>+AVERAGE(K251:K252)</f>
        <v>24.278032878694034</v>
      </c>
      <c r="M251" s="201">
        <f>+STDEVA(K251:K252)</f>
        <v>4.9260148299554316E-2</v>
      </c>
      <c r="N251" s="201">
        <f>+(M251/L251)*100</f>
        <v>0.20290008068480761</v>
      </c>
      <c r="O251" s="202" t="s">
        <v>863</v>
      </c>
      <c r="P251" s="201"/>
      <c r="Q251" s="3" t="s">
        <v>15</v>
      </c>
      <c r="R251" s="2" t="s">
        <v>14</v>
      </c>
    </row>
    <row r="252" spans="1:18" ht="17.25" x14ac:dyDescent="0.3">
      <c r="A252" s="61">
        <v>43354</v>
      </c>
      <c r="B252" s="2" t="s">
        <v>859</v>
      </c>
      <c r="C252" s="3" t="s">
        <v>860</v>
      </c>
      <c r="D252" s="3">
        <v>5.0008999999999997</v>
      </c>
      <c r="E252" s="3">
        <v>100</v>
      </c>
      <c r="F252" s="3">
        <v>4</v>
      </c>
      <c r="G252" s="3">
        <v>17.63</v>
      </c>
      <c r="H252" s="3">
        <v>0.01</v>
      </c>
      <c r="I252" s="3">
        <f t="shared" si="11"/>
        <v>5.289E-2</v>
      </c>
      <c r="J252" s="3">
        <v>17.399999999999999</v>
      </c>
      <c r="K252" s="122">
        <f>+(I252/AVERAGE(J252:J252))*(E252/D252)*F252*100</f>
        <v>24.312865063598903</v>
      </c>
      <c r="L252" s="200"/>
      <c r="M252" s="201"/>
      <c r="N252" s="201"/>
      <c r="O252" s="202"/>
      <c r="P252" s="201"/>
      <c r="Q252" s="3" t="s">
        <v>15</v>
      </c>
      <c r="R252" s="2" t="s">
        <v>14</v>
      </c>
    </row>
    <row r="253" spans="1:18" ht="17.25" x14ac:dyDescent="0.3">
      <c r="A253" s="61">
        <v>43354</v>
      </c>
      <c r="B253" s="2" t="s">
        <v>862</v>
      </c>
      <c r="C253" s="3" t="s">
        <v>10</v>
      </c>
      <c r="D253" s="2" t="s">
        <v>10</v>
      </c>
      <c r="E253" s="3">
        <v>100</v>
      </c>
      <c r="F253" s="3">
        <v>4</v>
      </c>
      <c r="G253" s="3">
        <v>17.63</v>
      </c>
      <c r="H253" s="3">
        <v>0.01</v>
      </c>
      <c r="I253" s="3">
        <f t="shared" si="11"/>
        <v>5.289E-2</v>
      </c>
      <c r="J253" s="3" t="s">
        <v>324</v>
      </c>
      <c r="K253" s="122" t="e">
        <f>+(I253/AVERAGE(J253:J253))*(E253/D253)*F253*100</f>
        <v>#DIV/0!</v>
      </c>
      <c r="L253" s="2" t="s">
        <v>10</v>
      </c>
      <c r="M253" s="2" t="s">
        <v>10</v>
      </c>
      <c r="N253" s="2" t="s">
        <v>10</v>
      </c>
      <c r="O253" s="121"/>
      <c r="P253" s="121"/>
      <c r="Q253" s="3" t="s">
        <v>15</v>
      </c>
      <c r="R253" s="2" t="s">
        <v>14</v>
      </c>
    </row>
    <row r="254" spans="1:18" ht="17.25" x14ac:dyDescent="0.3">
      <c r="A254" s="61">
        <v>43355</v>
      </c>
      <c r="B254" s="2" t="s">
        <v>1132</v>
      </c>
      <c r="C254" s="3" t="s">
        <v>1133</v>
      </c>
      <c r="D254" s="3">
        <v>10.000299999999999</v>
      </c>
      <c r="E254" s="3">
        <v>100</v>
      </c>
      <c r="F254" s="3">
        <v>16</v>
      </c>
      <c r="G254" s="3">
        <v>17.63</v>
      </c>
      <c r="H254" s="3">
        <v>0.01</v>
      </c>
      <c r="I254" s="3">
        <f t="shared" si="11"/>
        <v>5.289E-2</v>
      </c>
      <c r="J254" s="3">
        <v>22.1</v>
      </c>
      <c r="K254" s="122">
        <f t="shared" ref="K254:K272" si="12">(I254/J254)*(E254/D254)*100*F254</f>
        <v>38.290254007311908</v>
      </c>
      <c r="L254" s="200">
        <f>+AVERAGE(K254:K255)</f>
        <v>38.421086310298165</v>
      </c>
      <c r="M254" s="201">
        <f>+STDEVA(K254:K255)</f>
        <v>0.18502481727967476</v>
      </c>
      <c r="N254" s="201">
        <f>+(M254/L254)*100</f>
        <v>0.48157102010434771</v>
      </c>
      <c r="O254" s="121"/>
      <c r="P254" s="201">
        <f>+AVERAGE(L254:L257)</f>
        <v>38.3125505033914</v>
      </c>
      <c r="Q254" s="3" t="s">
        <v>15</v>
      </c>
      <c r="R254" s="2" t="s">
        <v>14</v>
      </c>
    </row>
    <row r="255" spans="1:18" ht="17.25" x14ac:dyDescent="0.3">
      <c r="A255" s="61">
        <v>43355</v>
      </c>
      <c r="B255" s="2" t="s">
        <v>1132</v>
      </c>
      <c r="C255" s="3" t="s">
        <v>1133</v>
      </c>
      <c r="D255" s="3">
        <v>10.000299999999999</v>
      </c>
      <c r="E255" s="3">
        <v>100</v>
      </c>
      <c r="F255" s="3">
        <v>16</v>
      </c>
      <c r="G255" s="3">
        <v>17.63</v>
      </c>
      <c r="H255" s="3">
        <v>0.01</v>
      </c>
      <c r="I255" s="3">
        <f t="shared" si="11"/>
        <v>5.289E-2</v>
      </c>
      <c r="J255" s="3">
        <v>21.95</v>
      </c>
      <c r="K255" s="122">
        <f t="shared" si="12"/>
        <v>38.551918613284428</v>
      </c>
      <c r="L255" s="200"/>
      <c r="M255" s="201"/>
      <c r="N255" s="201"/>
      <c r="O255" s="121"/>
      <c r="P255" s="201"/>
      <c r="Q255" s="3" t="s">
        <v>15</v>
      </c>
      <c r="R255" s="2" t="s">
        <v>14</v>
      </c>
    </row>
    <row r="256" spans="1:18" ht="17.25" x14ac:dyDescent="0.3">
      <c r="A256" s="61">
        <v>43355</v>
      </c>
      <c r="B256" s="2" t="s">
        <v>1132</v>
      </c>
      <c r="C256" s="3" t="s">
        <v>1133</v>
      </c>
      <c r="D256" s="3">
        <v>10.000299999999999</v>
      </c>
      <c r="E256" s="3">
        <v>100</v>
      </c>
      <c r="F256" s="3">
        <v>16</v>
      </c>
      <c r="G256" s="3">
        <v>17.63</v>
      </c>
      <c r="H256" s="3">
        <v>0.01</v>
      </c>
      <c r="I256" s="3">
        <f t="shared" si="11"/>
        <v>5.289E-2</v>
      </c>
      <c r="J256" s="3">
        <v>22.2</v>
      </c>
      <c r="K256" s="122">
        <f t="shared" si="12"/>
        <v>38.11777538565736</v>
      </c>
      <c r="L256" s="200">
        <f>+AVERAGE(K256:K257)</f>
        <v>38.204014696484634</v>
      </c>
      <c r="M256" s="201">
        <f>+STDEVA(K256:K257)</f>
        <v>0.12196080298163993</v>
      </c>
      <c r="N256" s="201">
        <f>+(M256/L256)*100</f>
        <v>0.31923556712709106</v>
      </c>
      <c r="O256" s="202" t="s">
        <v>863</v>
      </c>
      <c r="P256" s="201"/>
      <c r="Q256" s="3" t="s">
        <v>15</v>
      </c>
      <c r="R256" s="2" t="s">
        <v>14</v>
      </c>
    </row>
    <row r="257" spans="1:18" ht="17.25" x14ac:dyDescent="0.3">
      <c r="A257" s="61">
        <v>43355</v>
      </c>
      <c r="B257" s="2" t="s">
        <v>1132</v>
      </c>
      <c r="C257" s="3" t="s">
        <v>1133</v>
      </c>
      <c r="D257" s="3">
        <v>10.000299999999999</v>
      </c>
      <c r="E257" s="3">
        <v>100</v>
      </c>
      <c r="F257" s="3">
        <v>16</v>
      </c>
      <c r="G257" s="3">
        <v>17.63</v>
      </c>
      <c r="H257" s="3">
        <v>0.01</v>
      </c>
      <c r="I257" s="3">
        <f>G257*H257*15/50</f>
        <v>5.289E-2</v>
      </c>
      <c r="J257" s="3">
        <v>22.1</v>
      </c>
      <c r="K257" s="122">
        <f t="shared" si="12"/>
        <v>38.290254007311908</v>
      </c>
      <c r="L257" s="200"/>
      <c r="M257" s="201"/>
      <c r="N257" s="201"/>
      <c r="O257" s="202"/>
      <c r="P257" s="201"/>
      <c r="Q257" s="3" t="s">
        <v>15</v>
      </c>
      <c r="R257" s="2" t="s">
        <v>14</v>
      </c>
    </row>
    <row r="258" spans="1:18" ht="17.25" x14ac:dyDescent="0.3">
      <c r="A258" s="61">
        <v>43355</v>
      </c>
      <c r="B258" s="2" t="s">
        <v>862</v>
      </c>
      <c r="C258" s="3" t="s">
        <v>10</v>
      </c>
      <c r="D258" s="2" t="s">
        <v>10</v>
      </c>
      <c r="E258" s="3">
        <v>100</v>
      </c>
      <c r="F258" s="3">
        <v>2</v>
      </c>
      <c r="G258" s="3">
        <v>17.63</v>
      </c>
      <c r="H258" s="3">
        <v>0.01</v>
      </c>
      <c r="I258" s="3">
        <f>G258*H258*15/50</f>
        <v>5.289E-2</v>
      </c>
      <c r="J258" s="2" t="s">
        <v>1134</v>
      </c>
      <c r="K258" s="122" t="e">
        <f t="shared" si="12"/>
        <v>#VALUE!</v>
      </c>
      <c r="L258" s="2" t="s">
        <v>10</v>
      </c>
      <c r="M258" s="2" t="s">
        <v>10</v>
      </c>
      <c r="N258" s="2" t="s">
        <v>10</v>
      </c>
      <c r="O258" s="121"/>
      <c r="P258" s="121"/>
      <c r="Q258" s="3" t="s">
        <v>15</v>
      </c>
      <c r="R258" s="2" t="s">
        <v>14</v>
      </c>
    </row>
    <row r="259" spans="1:18" ht="17.25" x14ac:dyDescent="0.3">
      <c r="A259" s="61">
        <v>43357</v>
      </c>
      <c r="B259" s="2" t="s">
        <v>1150</v>
      </c>
      <c r="C259" s="3" t="s">
        <v>1149</v>
      </c>
      <c r="D259" s="3">
        <v>20.000299999999999</v>
      </c>
      <c r="E259" s="3">
        <v>100</v>
      </c>
      <c r="F259" s="3">
        <v>2</v>
      </c>
      <c r="G259" s="3">
        <v>17.63</v>
      </c>
      <c r="H259" s="3">
        <v>0.01</v>
      </c>
      <c r="I259" s="3">
        <f>G259*H259*15/50</f>
        <v>5.289E-2</v>
      </c>
      <c r="J259" s="3">
        <v>54.35</v>
      </c>
      <c r="K259" s="122">
        <f t="shared" si="12"/>
        <v>0.97312247767985405</v>
      </c>
      <c r="L259" s="200">
        <f>+AVERAGE(K259:K260)</f>
        <v>0.96175151541724446</v>
      </c>
      <c r="M259" s="201">
        <f>+STDEVA(K259:K260)</f>
        <v>1.6080969049015209E-2</v>
      </c>
      <c r="N259" s="201">
        <f>+(M259/L259)*100</f>
        <v>1.672050294824716</v>
      </c>
      <c r="O259" s="121"/>
      <c r="P259" s="121"/>
      <c r="Q259" s="3" t="s">
        <v>15</v>
      </c>
      <c r="R259" s="2" t="s">
        <v>14</v>
      </c>
    </row>
    <row r="260" spans="1:18" ht="17.25" x14ac:dyDescent="0.3">
      <c r="A260" s="61">
        <v>43357</v>
      </c>
      <c r="B260" s="2" t="s">
        <v>1150</v>
      </c>
      <c r="C260" s="3" t="s">
        <v>1149</v>
      </c>
      <c r="D260" s="3">
        <v>20.000499999999999</v>
      </c>
      <c r="E260" s="3">
        <v>100</v>
      </c>
      <c r="F260" s="3">
        <v>2</v>
      </c>
      <c r="G260" s="3">
        <v>17.63</v>
      </c>
      <c r="H260" s="3">
        <v>0.01</v>
      </c>
      <c r="I260" s="3">
        <f>G260*H260*15/50</f>
        <v>5.289E-2</v>
      </c>
      <c r="J260" s="3">
        <v>55.65</v>
      </c>
      <c r="K260" s="122">
        <f t="shared" si="12"/>
        <v>0.95038055315463477</v>
      </c>
      <c r="L260" s="200"/>
      <c r="M260" s="201"/>
      <c r="N260" s="201"/>
      <c r="O260" s="2" t="s">
        <v>863</v>
      </c>
      <c r="P260" s="121"/>
      <c r="Q260" s="3" t="s">
        <v>15</v>
      </c>
      <c r="R260" s="2" t="s">
        <v>14</v>
      </c>
    </row>
    <row r="261" spans="1:18" ht="17.25" x14ac:dyDescent="0.3">
      <c r="A261" s="61">
        <v>43357</v>
      </c>
      <c r="B261" s="2" t="s">
        <v>862</v>
      </c>
      <c r="C261" s="3" t="s">
        <v>10</v>
      </c>
      <c r="D261" s="2" t="s">
        <v>10</v>
      </c>
      <c r="E261" s="3">
        <v>100</v>
      </c>
      <c r="F261" s="3">
        <v>2</v>
      </c>
      <c r="G261" s="3">
        <v>17.63</v>
      </c>
      <c r="H261" s="3">
        <v>0.01</v>
      </c>
      <c r="I261" s="3">
        <f>G261*H261*15/50</f>
        <v>5.289E-2</v>
      </c>
      <c r="J261" s="3" t="s">
        <v>1134</v>
      </c>
      <c r="K261" s="122" t="e">
        <f t="shared" si="12"/>
        <v>#VALUE!</v>
      </c>
      <c r="L261" s="2" t="s">
        <v>10</v>
      </c>
      <c r="M261" s="2" t="s">
        <v>10</v>
      </c>
      <c r="N261" s="2" t="s">
        <v>10</v>
      </c>
      <c r="O261" s="121"/>
      <c r="P261" s="121"/>
      <c r="Q261" s="3" t="s">
        <v>15</v>
      </c>
      <c r="R261" s="2" t="s">
        <v>14</v>
      </c>
    </row>
    <row r="262" spans="1:18" ht="17.25" x14ac:dyDescent="0.3">
      <c r="A262" s="61">
        <v>43368</v>
      </c>
      <c r="B262" s="2" t="s">
        <v>1184</v>
      </c>
      <c r="C262" s="3" t="s">
        <v>1180</v>
      </c>
      <c r="D262" s="3">
        <v>5.1250999999999998</v>
      </c>
      <c r="E262" s="3">
        <v>100</v>
      </c>
      <c r="F262" s="3">
        <v>8</v>
      </c>
      <c r="G262" s="3">
        <v>17.63</v>
      </c>
      <c r="H262" s="3">
        <v>0.01</v>
      </c>
      <c r="I262" s="3">
        <f t="shared" ref="I262:I273" si="13">G262*H262*15/50</f>
        <v>5.289E-2</v>
      </c>
      <c r="J262" s="3">
        <v>18.399999999999999</v>
      </c>
      <c r="K262" s="122">
        <f t="shared" si="12"/>
        <v>44.868689730762419</v>
      </c>
      <c r="L262" s="200">
        <f>+AVERAGE(K262:K263)</f>
        <v>44.807892048200408</v>
      </c>
      <c r="M262" s="201">
        <f>+STDEVA(K262:K263)</f>
        <v>8.5980907240050669E-2</v>
      </c>
      <c r="N262" s="201">
        <f>+(M262/L262)*100</f>
        <v>0.19188786463679197</v>
      </c>
      <c r="O262" s="121"/>
      <c r="P262" s="204">
        <f>+AVERAGE(L262:L265)</f>
        <v>44.913654327593939</v>
      </c>
      <c r="Q262" s="3" t="s">
        <v>15</v>
      </c>
      <c r="R262" s="2" t="s">
        <v>14</v>
      </c>
    </row>
    <row r="263" spans="1:18" ht="17.25" x14ac:dyDescent="0.3">
      <c r="A263" s="61">
        <v>43368</v>
      </c>
      <c r="B263" s="2" t="s">
        <v>1184</v>
      </c>
      <c r="C263" s="3" t="s">
        <v>1180</v>
      </c>
      <c r="D263" s="3">
        <v>5.1250999999999998</v>
      </c>
      <c r="E263" s="3">
        <v>100</v>
      </c>
      <c r="F263" s="3">
        <v>8</v>
      </c>
      <c r="G263" s="3">
        <v>17.63</v>
      </c>
      <c r="H263" s="3">
        <v>0.01</v>
      </c>
      <c r="I263" s="3">
        <f t="shared" si="13"/>
        <v>5.289E-2</v>
      </c>
      <c r="J263" s="3">
        <v>18.45</v>
      </c>
      <c r="K263" s="122">
        <f t="shared" si="12"/>
        <v>44.747094365638397</v>
      </c>
      <c r="L263" s="200"/>
      <c r="M263" s="201"/>
      <c r="N263" s="201"/>
      <c r="O263" s="121"/>
      <c r="P263" s="204"/>
      <c r="Q263" s="3" t="s">
        <v>15</v>
      </c>
      <c r="R263" s="2" t="s">
        <v>14</v>
      </c>
    </row>
    <row r="264" spans="1:18" ht="17.25" x14ac:dyDescent="0.3">
      <c r="A264" s="61">
        <v>43368</v>
      </c>
      <c r="B264" s="2" t="s">
        <v>1184</v>
      </c>
      <c r="C264" s="3" t="s">
        <v>1180</v>
      </c>
      <c r="D264" s="3">
        <v>5.1148999999999996</v>
      </c>
      <c r="E264" s="3">
        <v>100</v>
      </c>
      <c r="F264" s="3">
        <v>8</v>
      </c>
      <c r="G264" s="3">
        <v>17.63</v>
      </c>
      <c r="H264" s="3">
        <v>0.01</v>
      </c>
      <c r="I264" s="3">
        <f t="shared" si="13"/>
        <v>5.289E-2</v>
      </c>
      <c r="J264" s="3">
        <v>18.350000000000001</v>
      </c>
      <c r="K264" s="122">
        <f t="shared" si="12"/>
        <v>45.080667513935744</v>
      </c>
      <c r="L264" s="200">
        <f>+AVERAGE(K264:K265)</f>
        <v>45.01941660698747</v>
      </c>
      <c r="M264" s="201">
        <f>+STDEVA(K264:K265)</f>
        <v>8.662186331390162E-2</v>
      </c>
      <c r="N264" s="201">
        <f>+(M264/L264)*100</f>
        <v>0.19241000848610959</v>
      </c>
      <c r="O264" s="202" t="s">
        <v>863</v>
      </c>
      <c r="P264" s="204"/>
      <c r="Q264" s="3" t="s">
        <v>15</v>
      </c>
      <c r="R264" s="2" t="s">
        <v>14</v>
      </c>
    </row>
    <row r="265" spans="1:18" ht="17.25" x14ac:dyDescent="0.3">
      <c r="A265" s="61">
        <v>43368</v>
      </c>
      <c r="B265" s="2" t="s">
        <v>1184</v>
      </c>
      <c r="C265" s="3" t="s">
        <v>1180</v>
      </c>
      <c r="D265" s="3">
        <v>5.1148999999999996</v>
      </c>
      <c r="E265" s="3">
        <v>100</v>
      </c>
      <c r="F265" s="3">
        <v>8</v>
      </c>
      <c r="G265" s="3">
        <v>17.63</v>
      </c>
      <c r="H265" s="3">
        <v>0.01</v>
      </c>
      <c r="I265" s="3">
        <f t="shared" si="13"/>
        <v>5.289E-2</v>
      </c>
      <c r="J265" s="3">
        <v>18.399999999999999</v>
      </c>
      <c r="K265" s="122">
        <f t="shared" si="12"/>
        <v>44.958165700039196</v>
      </c>
      <c r="L265" s="200"/>
      <c r="M265" s="201"/>
      <c r="N265" s="201"/>
      <c r="O265" s="202"/>
      <c r="P265" s="204"/>
      <c r="Q265" s="3" t="s">
        <v>15</v>
      </c>
      <c r="R265" s="2" t="s">
        <v>14</v>
      </c>
    </row>
    <row r="266" spans="1:18" ht="17.25" x14ac:dyDescent="0.3">
      <c r="A266" s="61">
        <v>43368</v>
      </c>
      <c r="B266" s="2" t="s">
        <v>1185</v>
      </c>
      <c r="C266" s="3" t="s">
        <v>1181</v>
      </c>
      <c r="D266" s="3">
        <v>1.1216999999999999</v>
      </c>
      <c r="E266" s="3">
        <v>100</v>
      </c>
      <c r="F266" s="3">
        <v>2</v>
      </c>
      <c r="G266" s="3">
        <v>17.63</v>
      </c>
      <c r="H266" s="3">
        <v>0.01</v>
      </c>
      <c r="I266" s="3">
        <f t="shared" si="13"/>
        <v>5.289E-2</v>
      </c>
      <c r="J266" s="3">
        <v>16.100000000000001</v>
      </c>
      <c r="K266" s="122">
        <f t="shared" si="12"/>
        <v>58.573471832073878</v>
      </c>
      <c r="L266" s="200">
        <f>+AVERAGE(K266:K267)</f>
        <v>58.482800823045899</v>
      </c>
      <c r="M266" s="201">
        <f>+STDEVA(K266:K267)</f>
        <v>0.12822817068142089</v>
      </c>
      <c r="N266" s="201">
        <f>+(M266/L266)*100</f>
        <v>0.21925791664699296</v>
      </c>
      <c r="O266" s="121"/>
      <c r="P266" s="204">
        <f>+AVERAGE(L266:L269)</f>
        <v>58.155262890230219</v>
      </c>
      <c r="Q266" s="3" t="s">
        <v>15</v>
      </c>
      <c r="R266" s="2" t="s">
        <v>14</v>
      </c>
    </row>
    <row r="267" spans="1:18" ht="17.25" x14ac:dyDescent="0.3">
      <c r="A267" s="61">
        <v>43368</v>
      </c>
      <c r="B267" s="2" t="s">
        <v>1185</v>
      </c>
      <c r="C267" s="3" t="s">
        <v>1181</v>
      </c>
      <c r="D267" s="3">
        <v>1.1216999999999999</v>
      </c>
      <c r="E267" s="3">
        <v>100</v>
      </c>
      <c r="F267" s="3">
        <v>2</v>
      </c>
      <c r="G267" s="3">
        <v>17.63</v>
      </c>
      <c r="H267" s="3">
        <v>0.01</v>
      </c>
      <c r="I267" s="3">
        <f t="shared" si="13"/>
        <v>5.289E-2</v>
      </c>
      <c r="J267" s="3">
        <v>16.149999999999999</v>
      </c>
      <c r="K267" s="122">
        <f t="shared" si="12"/>
        <v>58.39212981401792</v>
      </c>
      <c r="L267" s="200"/>
      <c r="M267" s="201"/>
      <c r="N267" s="201"/>
      <c r="O267" s="121"/>
      <c r="P267" s="204"/>
      <c r="Q267" s="3" t="s">
        <v>15</v>
      </c>
      <c r="R267" s="2" t="s">
        <v>14</v>
      </c>
    </row>
    <row r="268" spans="1:18" ht="17.25" x14ac:dyDescent="0.3">
      <c r="A268" s="61">
        <v>43368</v>
      </c>
      <c r="B268" s="2" t="s">
        <v>1185</v>
      </c>
      <c r="C268" s="3" t="s">
        <v>1181</v>
      </c>
      <c r="D268" s="3">
        <v>1.1309</v>
      </c>
      <c r="E268" s="3">
        <v>100</v>
      </c>
      <c r="F268" s="3">
        <v>2</v>
      </c>
      <c r="G268" s="3">
        <v>17.63</v>
      </c>
      <c r="H268" s="3">
        <v>0.01</v>
      </c>
      <c r="I268" s="3">
        <f t="shared" si="13"/>
        <v>5.289E-2</v>
      </c>
      <c r="J268" s="3">
        <v>16.2</v>
      </c>
      <c r="K268" s="122">
        <f t="shared" si="12"/>
        <v>57.738346711730735</v>
      </c>
      <c r="L268" s="200">
        <f>+AVERAGE(K268:K269)</f>
        <v>57.827724957414532</v>
      </c>
      <c r="M268" s="201">
        <f>+STDEVA(K268:K269)</f>
        <v>0.12639992722714</v>
      </c>
      <c r="N268" s="201">
        <f>+(M268/L268)*100</f>
        <v>0.21858014874391718</v>
      </c>
      <c r="O268" s="202" t="s">
        <v>863</v>
      </c>
      <c r="P268" s="204"/>
      <c r="Q268" s="3" t="s">
        <v>15</v>
      </c>
      <c r="R268" s="2" t="s">
        <v>14</v>
      </c>
    </row>
    <row r="269" spans="1:18" ht="17.25" x14ac:dyDescent="0.3">
      <c r="A269" s="61">
        <v>43368</v>
      </c>
      <c r="B269" s="2" t="s">
        <v>1185</v>
      </c>
      <c r="C269" s="3" t="s">
        <v>1181</v>
      </c>
      <c r="D269" s="3">
        <v>1.1309</v>
      </c>
      <c r="E269" s="3">
        <v>100</v>
      </c>
      <c r="F269" s="3">
        <v>2</v>
      </c>
      <c r="G269" s="3">
        <v>17.63</v>
      </c>
      <c r="H269" s="3">
        <v>0.01</v>
      </c>
      <c r="I269" s="3">
        <f t="shared" si="13"/>
        <v>5.289E-2</v>
      </c>
      <c r="J269" s="3">
        <v>16.149999999999999</v>
      </c>
      <c r="K269" s="122">
        <f t="shared" si="12"/>
        <v>57.917103203098328</v>
      </c>
      <c r="L269" s="200"/>
      <c r="M269" s="201"/>
      <c r="N269" s="201"/>
      <c r="O269" s="202"/>
      <c r="P269" s="204"/>
      <c r="Q269" s="3" t="s">
        <v>15</v>
      </c>
      <c r="R269" s="2" t="s">
        <v>14</v>
      </c>
    </row>
    <row r="270" spans="1:18" ht="17.25" x14ac:dyDescent="0.3">
      <c r="A270" s="61">
        <v>43368</v>
      </c>
      <c r="B270" s="2" t="s">
        <v>1186</v>
      </c>
      <c r="C270" s="3" t="s">
        <v>1182</v>
      </c>
      <c r="D270" s="3">
        <v>5.8544999999999998</v>
      </c>
      <c r="E270" s="3">
        <v>100</v>
      </c>
      <c r="F270" s="3">
        <v>1</v>
      </c>
      <c r="G270" s="3">
        <v>17.63</v>
      </c>
      <c r="H270" s="3">
        <v>0.01</v>
      </c>
      <c r="I270" s="3">
        <f t="shared" si="13"/>
        <v>5.289E-2</v>
      </c>
      <c r="J270" s="3">
        <v>80.55</v>
      </c>
      <c r="K270" s="122">
        <f t="shared" si="12"/>
        <v>1.1215488952854711</v>
      </c>
      <c r="L270" s="2" t="s">
        <v>10</v>
      </c>
      <c r="M270" s="2" t="s">
        <v>10</v>
      </c>
      <c r="N270" s="2" t="s">
        <v>10</v>
      </c>
      <c r="O270" s="121"/>
      <c r="P270" s="121"/>
      <c r="Q270" s="3" t="s">
        <v>15</v>
      </c>
      <c r="R270" s="2" t="s">
        <v>14</v>
      </c>
    </row>
    <row r="271" spans="1:18" ht="17.25" x14ac:dyDescent="0.3">
      <c r="A271" s="61">
        <v>43368</v>
      </c>
      <c r="B271" s="2" t="s">
        <v>1187</v>
      </c>
      <c r="C271" s="3" t="s">
        <v>1183</v>
      </c>
      <c r="D271" s="3">
        <v>5.0206999999999997</v>
      </c>
      <c r="E271" s="3">
        <v>100</v>
      </c>
      <c r="F271" s="3">
        <v>1</v>
      </c>
      <c r="G271" s="3">
        <v>17.63</v>
      </c>
      <c r="H271" s="3">
        <v>0.01</v>
      </c>
      <c r="I271" s="3">
        <f t="shared" si="13"/>
        <v>5.289E-2</v>
      </c>
      <c r="J271" s="3">
        <v>85.85</v>
      </c>
      <c r="K271" s="122">
        <f t="shared" si="12"/>
        <v>1.227069031472372</v>
      </c>
      <c r="L271" s="200">
        <f>+AVERAGE(K271:K272)</f>
        <v>1.2252829660226026</v>
      </c>
      <c r="M271" s="201">
        <f>+STDEVA(K271:K272)</f>
        <v>2.5258779823499541E-3</v>
      </c>
      <c r="N271" s="201">
        <f>+(M271/L271)*100</f>
        <v>0.20614650267678331</v>
      </c>
      <c r="O271" s="121"/>
      <c r="P271" s="121"/>
      <c r="Q271" s="3" t="s">
        <v>15</v>
      </c>
      <c r="R271" s="2" t="s">
        <v>14</v>
      </c>
    </row>
    <row r="272" spans="1:18" ht="17.25" x14ac:dyDescent="0.3">
      <c r="A272" s="61">
        <v>43368</v>
      </c>
      <c r="B272" s="2" t="s">
        <v>1187</v>
      </c>
      <c r="C272" s="3" t="s">
        <v>1183</v>
      </c>
      <c r="D272" s="3">
        <v>5.0294999999999996</v>
      </c>
      <c r="E272" s="3">
        <v>100</v>
      </c>
      <c r="F272" s="3">
        <v>1</v>
      </c>
      <c r="G272" s="3">
        <v>17.63</v>
      </c>
      <c r="H272" s="3">
        <v>0.01</v>
      </c>
      <c r="I272" s="3">
        <f t="shared" si="13"/>
        <v>5.289E-2</v>
      </c>
      <c r="J272" s="3">
        <v>85.95</v>
      </c>
      <c r="K272" s="122">
        <f t="shared" si="12"/>
        <v>1.2234969005728331</v>
      </c>
      <c r="L272" s="200"/>
      <c r="M272" s="201"/>
      <c r="N272" s="201"/>
      <c r="O272" s="121"/>
      <c r="P272" s="121"/>
      <c r="Q272" s="3" t="s">
        <v>15</v>
      </c>
      <c r="R272" s="2" t="s">
        <v>14</v>
      </c>
    </row>
    <row r="273" spans="1:18" ht="17.25" x14ac:dyDescent="0.3">
      <c r="A273" s="61">
        <v>43368</v>
      </c>
      <c r="B273" s="2" t="s">
        <v>862</v>
      </c>
      <c r="C273" s="3" t="s">
        <v>10</v>
      </c>
      <c r="D273" s="2" t="s">
        <v>10</v>
      </c>
      <c r="E273" s="3">
        <v>100</v>
      </c>
      <c r="F273" s="3">
        <v>2</v>
      </c>
      <c r="G273" s="3">
        <v>17.63</v>
      </c>
      <c r="H273" s="3">
        <v>0.01</v>
      </c>
      <c r="I273" s="3">
        <f t="shared" si="13"/>
        <v>5.289E-2</v>
      </c>
      <c r="J273" s="3" t="s">
        <v>1134</v>
      </c>
      <c r="K273" s="122" t="e">
        <f>(I273/J273)*(E273/D273)*100*F273</f>
        <v>#VALUE!</v>
      </c>
      <c r="L273" s="2" t="s">
        <v>10</v>
      </c>
      <c r="M273" s="2" t="s">
        <v>10</v>
      </c>
      <c r="N273" s="2" t="s">
        <v>10</v>
      </c>
      <c r="O273" s="121"/>
      <c r="P273" s="121"/>
      <c r="Q273" s="3" t="s">
        <v>15</v>
      </c>
      <c r="R273" s="2" t="s">
        <v>14</v>
      </c>
    </row>
  </sheetData>
  <autoFilter ref="A5:P273" xr:uid="{00000000-0009-0000-0000-000004000000}">
    <filterColumn colId="14" showButton="0"/>
  </autoFilter>
  <mergeCells count="232">
    <mergeCell ref="L268:L269"/>
    <mergeCell ref="M268:M269"/>
    <mergeCell ref="N268:N269"/>
    <mergeCell ref="L271:L272"/>
    <mergeCell ref="M271:M272"/>
    <mergeCell ref="N271:N272"/>
    <mergeCell ref="O264:O265"/>
    <mergeCell ref="P262:P265"/>
    <mergeCell ref="P266:P269"/>
    <mergeCell ref="O268:O269"/>
    <mergeCell ref="L262:L263"/>
    <mergeCell ref="M262:M263"/>
    <mergeCell ref="N262:N263"/>
    <mergeCell ref="L264:L265"/>
    <mergeCell ref="M264:M265"/>
    <mergeCell ref="N264:N265"/>
    <mergeCell ref="L266:L267"/>
    <mergeCell ref="M266:M267"/>
    <mergeCell ref="N266:N267"/>
    <mergeCell ref="L259:L260"/>
    <mergeCell ref="M259:M260"/>
    <mergeCell ref="N259:N260"/>
    <mergeCell ref="L254:L255"/>
    <mergeCell ref="M254:M255"/>
    <mergeCell ref="N254:N255"/>
    <mergeCell ref="L256:L257"/>
    <mergeCell ref="M256:M257"/>
    <mergeCell ref="N256:N257"/>
    <mergeCell ref="O256:O257"/>
    <mergeCell ref="P254:P257"/>
    <mergeCell ref="O184:O185"/>
    <mergeCell ref="P182:P185"/>
    <mergeCell ref="L224:L225"/>
    <mergeCell ref="L226:L227"/>
    <mergeCell ref="M224:M225"/>
    <mergeCell ref="M226:M227"/>
    <mergeCell ref="N224:N225"/>
    <mergeCell ref="N226:N227"/>
    <mergeCell ref="P226:P228"/>
    <mergeCell ref="L190:L191"/>
    <mergeCell ref="M190:M191"/>
    <mergeCell ref="N190:N191"/>
    <mergeCell ref="L192:L193"/>
    <mergeCell ref="M192:M193"/>
    <mergeCell ref="N192:N193"/>
    <mergeCell ref="L186:L187"/>
    <mergeCell ref="M186:M187"/>
    <mergeCell ref="N186:N187"/>
    <mergeCell ref="L188:L189"/>
    <mergeCell ref="M188:M189"/>
    <mergeCell ref="N188:N189"/>
    <mergeCell ref="L198:L199"/>
    <mergeCell ref="L180:L181"/>
    <mergeCell ref="M180:M181"/>
    <mergeCell ref="N180:N181"/>
    <mergeCell ref="L182:L183"/>
    <mergeCell ref="M182:M183"/>
    <mergeCell ref="N182:N183"/>
    <mergeCell ref="L184:L185"/>
    <mergeCell ref="M184:M185"/>
    <mergeCell ref="N184:N185"/>
    <mergeCell ref="O173:O174"/>
    <mergeCell ref="P171:P174"/>
    <mergeCell ref="L171:L172"/>
    <mergeCell ref="M171:M172"/>
    <mergeCell ref="N171:N172"/>
    <mergeCell ref="L173:L174"/>
    <mergeCell ref="M173:M174"/>
    <mergeCell ref="N173:N174"/>
    <mergeCell ref="P175:P178"/>
    <mergeCell ref="L175:L176"/>
    <mergeCell ref="L177:L178"/>
    <mergeCell ref="N175:N176"/>
    <mergeCell ref="O175:O176"/>
    <mergeCell ref="N177:N178"/>
    <mergeCell ref="O177:O178"/>
    <mergeCell ref="M175:M176"/>
    <mergeCell ref="M177:M178"/>
    <mergeCell ref="L136:L137"/>
    <mergeCell ref="L138:L139"/>
    <mergeCell ref="L140:L141"/>
    <mergeCell ref="L142:L143"/>
    <mergeCell ref="L167:L168"/>
    <mergeCell ref="M167:M168"/>
    <mergeCell ref="N167:N168"/>
    <mergeCell ref="L169:L170"/>
    <mergeCell ref="M169:M170"/>
    <mergeCell ref="N169:N170"/>
    <mergeCell ref="O142:O143"/>
    <mergeCell ref="P140:P143"/>
    <mergeCell ref="O147:O148"/>
    <mergeCell ref="P145:P148"/>
    <mergeCell ref="L145:L146"/>
    <mergeCell ref="L147:L148"/>
    <mergeCell ref="M145:M146"/>
    <mergeCell ref="N145:N146"/>
    <mergeCell ref="M147:M148"/>
    <mergeCell ref="N147:N148"/>
    <mergeCell ref="M128:M129"/>
    <mergeCell ref="M130:M131"/>
    <mergeCell ref="M132:M133"/>
    <mergeCell ref="M134:M135"/>
    <mergeCell ref="M136:M137"/>
    <mergeCell ref="M138:M139"/>
    <mergeCell ref="M140:M141"/>
    <mergeCell ref="M142:M143"/>
    <mergeCell ref="N136:N137"/>
    <mergeCell ref="N138:N139"/>
    <mergeCell ref="N140:N141"/>
    <mergeCell ref="N142:N143"/>
    <mergeCell ref="L126:L127"/>
    <mergeCell ref="L128:L129"/>
    <mergeCell ref="L130:L131"/>
    <mergeCell ref="L132:L133"/>
    <mergeCell ref="L134:L135"/>
    <mergeCell ref="A4:R4"/>
    <mergeCell ref="I1:R1"/>
    <mergeCell ref="I2:R2"/>
    <mergeCell ref="I3:R3"/>
    <mergeCell ref="A1:B3"/>
    <mergeCell ref="C1:H3"/>
    <mergeCell ref="L122:L125"/>
    <mergeCell ref="M122:M125"/>
    <mergeCell ref="N122:N125"/>
    <mergeCell ref="O5:P5"/>
    <mergeCell ref="L118:L121"/>
    <mergeCell ref="M118:M121"/>
    <mergeCell ref="N118:N121"/>
    <mergeCell ref="N126:N127"/>
    <mergeCell ref="N128:N129"/>
    <mergeCell ref="N130:N131"/>
    <mergeCell ref="N132:N133"/>
    <mergeCell ref="N134:N135"/>
    <mergeCell ref="M126:M127"/>
    <mergeCell ref="O164:O165"/>
    <mergeCell ref="P162:P165"/>
    <mergeCell ref="L162:L163"/>
    <mergeCell ref="L164:L165"/>
    <mergeCell ref="M162:M163"/>
    <mergeCell ref="N162:N163"/>
    <mergeCell ref="M164:M165"/>
    <mergeCell ref="N164:N165"/>
    <mergeCell ref="L155:L158"/>
    <mergeCell ref="M155:M158"/>
    <mergeCell ref="N155:N158"/>
    <mergeCell ref="O157:O158"/>
    <mergeCell ref="L159:L160"/>
    <mergeCell ref="M159:M160"/>
    <mergeCell ref="N159:N160"/>
    <mergeCell ref="L200:L201"/>
    <mergeCell ref="M200:M201"/>
    <mergeCell ref="N200:N201"/>
    <mergeCell ref="L194:L195"/>
    <mergeCell ref="M194:M195"/>
    <mergeCell ref="N194:N195"/>
    <mergeCell ref="L196:L197"/>
    <mergeCell ref="M196:M197"/>
    <mergeCell ref="N196:N197"/>
    <mergeCell ref="M198:M199"/>
    <mergeCell ref="N198:N199"/>
    <mergeCell ref="L206:L207"/>
    <mergeCell ref="M206:M207"/>
    <mergeCell ref="N206:N207"/>
    <mergeCell ref="L208:L209"/>
    <mergeCell ref="M208:M209"/>
    <mergeCell ref="N208:N209"/>
    <mergeCell ref="L202:L203"/>
    <mergeCell ref="M202:M203"/>
    <mergeCell ref="N202:N203"/>
    <mergeCell ref="L204:L205"/>
    <mergeCell ref="M204:M205"/>
    <mergeCell ref="N204:N205"/>
    <mergeCell ref="L214:L215"/>
    <mergeCell ref="M214:M215"/>
    <mergeCell ref="N214:N215"/>
    <mergeCell ref="L216:L217"/>
    <mergeCell ref="M216:M217"/>
    <mergeCell ref="N216:N217"/>
    <mergeCell ref="L210:L211"/>
    <mergeCell ref="M210:M211"/>
    <mergeCell ref="N210:N211"/>
    <mergeCell ref="L212:L213"/>
    <mergeCell ref="M212:M213"/>
    <mergeCell ref="N212:N213"/>
    <mergeCell ref="L222:L223"/>
    <mergeCell ref="M222:M223"/>
    <mergeCell ref="N222:N223"/>
    <mergeCell ref="L218:L219"/>
    <mergeCell ref="M218:M219"/>
    <mergeCell ref="N218:N219"/>
    <mergeCell ref="L220:L221"/>
    <mergeCell ref="M220:M221"/>
    <mergeCell ref="N220:N221"/>
    <mergeCell ref="L230:L231"/>
    <mergeCell ref="M230:M231"/>
    <mergeCell ref="N230:N231"/>
    <mergeCell ref="L232:L233"/>
    <mergeCell ref="L234:L235"/>
    <mergeCell ref="L236:L237"/>
    <mergeCell ref="L238:L239"/>
    <mergeCell ref="L240:L241"/>
    <mergeCell ref="L242:L243"/>
    <mergeCell ref="N232:N233"/>
    <mergeCell ref="N234:N235"/>
    <mergeCell ref="N236:N237"/>
    <mergeCell ref="N238:N239"/>
    <mergeCell ref="N240:N241"/>
    <mergeCell ref="N242:N243"/>
    <mergeCell ref="O234:O235"/>
    <mergeCell ref="O244:O245"/>
    <mergeCell ref="P232:P235"/>
    <mergeCell ref="P242:P245"/>
    <mergeCell ref="L244:L245"/>
    <mergeCell ref="L246:L247"/>
    <mergeCell ref="M232:M233"/>
    <mergeCell ref="M234:M235"/>
    <mergeCell ref="M236:M237"/>
    <mergeCell ref="M238:M239"/>
    <mergeCell ref="M240:M241"/>
    <mergeCell ref="M242:M243"/>
    <mergeCell ref="M244:M245"/>
    <mergeCell ref="M246:M247"/>
    <mergeCell ref="L249:L250"/>
    <mergeCell ref="L251:L252"/>
    <mergeCell ref="M249:M250"/>
    <mergeCell ref="N249:N250"/>
    <mergeCell ref="M251:M252"/>
    <mergeCell ref="N251:N252"/>
    <mergeCell ref="O251:O252"/>
    <mergeCell ref="P249:P252"/>
    <mergeCell ref="N244:N245"/>
    <mergeCell ref="N246:N247"/>
  </mergeCells>
  <pageMargins left="0.7" right="0.7" top="0.75" bottom="0.75" header="0.3" footer="0.3"/>
  <pageSetup scale="26" fitToHeight="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Q304"/>
  <sheetViews>
    <sheetView topLeftCell="A271" zoomScale="60" zoomScaleNormal="60" workbookViewId="0">
      <selection activeCell="D307" sqref="D307"/>
    </sheetView>
  </sheetViews>
  <sheetFormatPr baseColWidth="10" defaultRowHeight="16.5" x14ac:dyDescent="0.3"/>
  <cols>
    <col min="1" max="1" width="13.25" style="14" customWidth="1"/>
    <col min="2" max="2" width="17" style="14" customWidth="1"/>
    <col min="3" max="3" width="101" customWidth="1"/>
    <col min="4" max="4" width="15.375" style="14" customWidth="1"/>
    <col min="5" max="6" width="11" style="18"/>
    <col min="7" max="7" width="16.875" style="18" customWidth="1"/>
    <col min="8" max="8" width="17.5" style="18" customWidth="1"/>
    <col min="9" max="9" width="11" style="17"/>
    <col min="10" max="10" width="14.625" style="17" customWidth="1"/>
    <col min="11" max="11" width="29.5" style="17" customWidth="1"/>
    <col min="12" max="12" width="11" style="17"/>
    <col min="13" max="13" width="11" style="14"/>
    <col min="14" max="14" width="19.875" style="14" customWidth="1"/>
    <col min="15" max="15" width="28.75" style="14" customWidth="1"/>
    <col min="16" max="16" width="18.25" customWidth="1"/>
  </cols>
  <sheetData>
    <row r="1" spans="1:15" ht="16.5" customHeight="1" thickBot="1" x14ac:dyDescent="0.35">
      <c r="A1" s="231"/>
      <c r="B1" s="232"/>
      <c r="C1" s="247" t="s">
        <v>40</v>
      </c>
      <c r="D1" s="248"/>
      <c r="E1" s="248"/>
      <c r="F1" s="248"/>
      <c r="G1" s="248"/>
      <c r="H1" s="248"/>
      <c r="I1" s="248"/>
      <c r="J1" s="248"/>
      <c r="K1" s="248"/>
      <c r="L1" s="249"/>
      <c r="M1" s="237" t="s">
        <v>17</v>
      </c>
      <c r="N1" s="238"/>
      <c r="O1" s="239"/>
    </row>
    <row r="2" spans="1:15" ht="17.25" thickBot="1" x14ac:dyDescent="0.35">
      <c r="A2" s="233"/>
      <c r="B2" s="234"/>
      <c r="C2" s="250"/>
      <c r="D2" s="251"/>
      <c r="E2" s="251"/>
      <c r="F2" s="251"/>
      <c r="G2" s="251"/>
      <c r="H2" s="251"/>
      <c r="I2" s="251"/>
      <c r="J2" s="251"/>
      <c r="K2" s="251"/>
      <c r="L2" s="252"/>
      <c r="M2" s="237" t="s">
        <v>6</v>
      </c>
      <c r="N2" s="238"/>
      <c r="O2" s="239"/>
    </row>
    <row r="3" spans="1:15" ht="17.25" thickBot="1" x14ac:dyDescent="0.35">
      <c r="A3" s="235"/>
      <c r="B3" s="236"/>
      <c r="C3" s="253"/>
      <c r="D3" s="254"/>
      <c r="E3" s="254"/>
      <c r="F3" s="254"/>
      <c r="G3" s="254"/>
      <c r="H3" s="254"/>
      <c r="I3" s="254"/>
      <c r="J3" s="254"/>
      <c r="K3" s="254"/>
      <c r="L3" s="255"/>
      <c r="M3" s="240" t="s">
        <v>7</v>
      </c>
      <c r="N3" s="241"/>
      <c r="O3" s="242"/>
    </row>
    <row r="4" spans="1:15" ht="17.25" thickBot="1" x14ac:dyDescent="0.35">
      <c r="A4" s="243"/>
      <c r="B4" s="244"/>
      <c r="C4" s="244"/>
      <c r="D4" s="244"/>
      <c r="E4" s="245"/>
      <c r="F4" s="245"/>
      <c r="G4" s="245"/>
      <c r="H4" s="245"/>
      <c r="I4" s="245"/>
      <c r="J4" s="245"/>
      <c r="K4" s="245"/>
      <c r="L4" s="245"/>
      <c r="M4" s="244"/>
      <c r="N4" s="244"/>
      <c r="O4" s="246"/>
    </row>
    <row r="5" spans="1:15" ht="39" thickBot="1" x14ac:dyDescent="0.35">
      <c r="A5" s="256" t="s">
        <v>18</v>
      </c>
      <c r="B5" s="257"/>
      <c r="C5" s="257"/>
      <c r="D5" s="257"/>
      <c r="E5" s="24" t="s">
        <v>19</v>
      </c>
      <c r="F5" s="25" t="s">
        <v>20</v>
      </c>
      <c r="G5" s="7" t="s">
        <v>8</v>
      </c>
      <c r="H5" s="258"/>
      <c r="I5" s="259"/>
      <c r="J5" s="259"/>
      <c r="K5" s="259"/>
      <c r="L5" s="259"/>
      <c r="M5" s="260"/>
      <c r="N5" s="10" t="s">
        <v>21</v>
      </c>
      <c r="O5" s="6"/>
    </row>
    <row r="6" spans="1:15" ht="53.25" customHeight="1" thickBot="1" x14ac:dyDescent="0.35">
      <c r="A6" s="261" t="s">
        <v>22</v>
      </c>
      <c r="B6" s="262"/>
      <c r="C6" s="13"/>
      <c r="D6" s="267" t="s">
        <v>23</v>
      </c>
      <c r="E6" s="268"/>
      <c r="F6" s="263" t="s">
        <v>24</v>
      </c>
      <c r="G6" s="264"/>
      <c r="H6" s="64" t="s">
        <v>25</v>
      </c>
      <c r="I6" s="265" t="s">
        <v>26</v>
      </c>
      <c r="J6" s="266"/>
      <c r="K6" s="266"/>
      <c r="L6" s="266"/>
      <c r="M6" s="264"/>
      <c r="N6" s="11" t="s">
        <v>27</v>
      </c>
      <c r="O6" s="12" t="s">
        <v>28</v>
      </c>
    </row>
    <row r="7" spans="1:15" ht="81.75" customHeight="1" x14ac:dyDescent="0.3">
      <c r="A7" s="272" t="s">
        <v>29</v>
      </c>
      <c r="B7" s="273" t="s">
        <v>30</v>
      </c>
      <c r="C7" s="271" t="s">
        <v>13</v>
      </c>
      <c r="D7" s="271" t="s">
        <v>32</v>
      </c>
      <c r="E7" s="271" t="s">
        <v>31</v>
      </c>
      <c r="F7" s="271" t="s">
        <v>33</v>
      </c>
      <c r="G7" s="271" t="s">
        <v>34</v>
      </c>
      <c r="H7" s="271" t="s">
        <v>39</v>
      </c>
      <c r="I7" s="274" t="s">
        <v>37</v>
      </c>
      <c r="J7" s="89" t="s">
        <v>817</v>
      </c>
      <c r="K7" s="89" t="s">
        <v>534</v>
      </c>
      <c r="L7" s="89" t="s">
        <v>805</v>
      </c>
      <c r="M7" s="269" t="s">
        <v>35</v>
      </c>
      <c r="N7" s="270" t="s">
        <v>38</v>
      </c>
      <c r="O7" s="269" t="s">
        <v>36</v>
      </c>
    </row>
    <row r="8" spans="1:15" ht="46.5" customHeight="1" x14ac:dyDescent="0.3">
      <c r="A8" s="272"/>
      <c r="B8" s="272"/>
      <c r="C8" s="272"/>
      <c r="D8" s="271"/>
      <c r="E8" s="271"/>
      <c r="F8" s="271"/>
      <c r="G8" s="271"/>
      <c r="H8" s="270"/>
      <c r="I8" s="274"/>
      <c r="J8" s="89" t="s">
        <v>817</v>
      </c>
      <c r="K8" s="89" t="s">
        <v>534</v>
      </c>
      <c r="L8" s="89" t="s">
        <v>805</v>
      </c>
      <c r="M8" s="270"/>
      <c r="N8" s="275"/>
      <c r="O8" s="270"/>
    </row>
    <row r="9" spans="1:15" x14ac:dyDescent="0.3">
      <c r="A9" s="42">
        <v>43151</v>
      </c>
      <c r="B9" s="85" t="s">
        <v>87</v>
      </c>
      <c r="C9" s="2" t="s">
        <v>101</v>
      </c>
      <c r="D9" s="3">
        <v>1</v>
      </c>
      <c r="E9" s="9">
        <v>10</v>
      </c>
      <c r="F9" s="9">
        <v>88.537499999999994</v>
      </c>
      <c r="G9" s="9">
        <v>88.603999999999999</v>
      </c>
      <c r="H9" s="3"/>
      <c r="I9" s="56">
        <f t="shared" ref="I9:I63" si="0">((G9-F9)/(E9))*100*((100-H9)/100)</f>
        <v>0.66500000000004889</v>
      </c>
      <c r="J9" s="56" t="s">
        <v>10</v>
      </c>
      <c r="K9" s="56" t="s">
        <v>10</v>
      </c>
      <c r="L9" s="56" t="s">
        <v>10</v>
      </c>
      <c r="M9" s="3" t="s">
        <v>15</v>
      </c>
      <c r="N9" s="3" t="s">
        <v>15</v>
      </c>
      <c r="O9" s="3" t="s">
        <v>10</v>
      </c>
    </row>
    <row r="10" spans="1:15" x14ac:dyDescent="0.3">
      <c r="A10" s="42">
        <v>43151</v>
      </c>
      <c r="B10" s="85" t="s">
        <v>88</v>
      </c>
      <c r="C10" s="2" t="s">
        <v>102</v>
      </c>
      <c r="D10" s="3">
        <v>2</v>
      </c>
      <c r="E10" s="9">
        <v>10</v>
      </c>
      <c r="F10" s="9">
        <v>81.911900000000003</v>
      </c>
      <c r="G10" s="9">
        <v>81.927800000000005</v>
      </c>
      <c r="H10" s="3"/>
      <c r="I10" s="56">
        <f t="shared" si="0"/>
        <v>0.15900000000002024</v>
      </c>
      <c r="J10" s="56" t="s">
        <v>10</v>
      </c>
      <c r="K10" s="56" t="s">
        <v>10</v>
      </c>
      <c r="L10" s="56" t="s">
        <v>10</v>
      </c>
      <c r="M10" s="3" t="s">
        <v>15</v>
      </c>
      <c r="N10" s="3" t="s">
        <v>15</v>
      </c>
      <c r="O10" s="3" t="s">
        <v>10</v>
      </c>
    </row>
    <row r="11" spans="1:15" x14ac:dyDescent="0.3">
      <c r="A11" s="42">
        <v>43151</v>
      </c>
      <c r="B11" s="85" t="s">
        <v>89</v>
      </c>
      <c r="C11" s="2" t="s">
        <v>103</v>
      </c>
      <c r="D11" s="3">
        <v>3</v>
      </c>
      <c r="E11" s="9">
        <v>10</v>
      </c>
      <c r="F11" s="9">
        <v>93.952399999999997</v>
      </c>
      <c r="G11" s="9">
        <v>94.055700000000002</v>
      </c>
      <c r="H11" s="3"/>
      <c r="I11" s="56">
        <f t="shared" si="0"/>
        <v>1.0330000000000439</v>
      </c>
      <c r="J11" s="56" t="s">
        <v>10</v>
      </c>
      <c r="K11" s="56" t="s">
        <v>10</v>
      </c>
      <c r="L11" s="56" t="s">
        <v>10</v>
      </c>
      <c r="M11" s="3" t="s">
        <v>15</v>
      </c>
      <c r="N11" s="3" t="s">
        <v>15</v>
      </c>
      <c r="O11" s="3" t="s">
        <v>10</v>
      </c>
    </row>
    <row r="12" spans="1:15" x14ac:dyDescent="0.3">
      <c r="A12" s="42">
        <v>43151</v>
      </c>
      <c r="B12" s="85" t="s">
        <v>90</v>
      </c>
      <c r="C12" s="2" t="s">
        <v>104</v>
      </c>
      <c r="D12" s="3">
        <v>4</v>
      </c>
      <c r="E12" s="9">
        <v>10</v>
      </c>
      <c r="F12" s="9">
        <v>88.492999999999995</v>
      </c>
      <c r="G12" s="9">
        <v>89.241</v>
      </c>
      <c r="H12" s="3"/>
      <c r="I12" s="56">
        <f t="shared" si="0"/>
        <v>7.4800000000000466</v>
      </c>
      <c r="J12" s="56" t="s">
        <v>10</v>
      </c>
      <c r="K12" s="56" t="s">
        <v>10</v>
      </c>
      <c r="L12" s="56" t="s">
        <v>10</v>
      </c>
      <c r="M12" s="3" t="s">
        <v>15</v>
      </c>
      <c r="N12" s="3" t="s">
        <v>15</v>
      </c>
      <c r="O12" s="3" t="s">
        <v>10</v>
      </c>
    </row>
    <row r="13" spans="1:15" x14ac:dyDescent="0.3">
      <c r="A13" s="42">
        <v>43151</v>
      </c>
      <c r="B13" s="85" t="s">
        <v>91</v>
      </c>
      <c r="C13" s="2" t="s">
        <v>105</v>
      </c>
      <c r="D13" s="3">
        <v>5</v>
      </c>
      <c r="E13" s="9">
        <v>10</v>
      </c>
      <c r="F13" s="9">
        <v>89.812799999999996</v>
      </c>
      <c r="G13" s="9">
        <v>94.372100000000003</v>
      </c>
      <c r="H13" s="3"/>
      <c r="I13" s="56">
        <f t="shared" si="0"/>
        <v>45.593000000000075</v>
      </c>
      <c r="J13" s="56" t="s">
        <v>10</v>
      </c>
      <c r="K13" s="56" t="s">
        <v>10</v>
      </c>
      <c r="L13" s="56" t="s">
        <v>10</v>
      </c>
      <c r="M13" s="3" t="s">
        <v>15</v>
      </c>
      <c r="N13" s="3" t="s">
        <v>15</v>
      </c>
      <c r="O13" s="3" t="s">
        <v>10</v>
      </c>
    </row>
    <row r="14" spans="1:15" x14ac:dyDescent="0.3">
      <c r="A14" s="42">
        <v>43151</v>
      </c>
      <c r="B14" s="85" t="s">
        <v>92</v>
      </c>
      <c r="C14" s="2" t="s">
        <v>106</v>
      </c>
      <c r="D14" s="3">
        <v>6</v>
      </c>
      <c r="E14" s="9">
        <v>10</v>
      </c>
      <c r="F14" s="9">
        <v>86.570300000000003</v>
      </c>
      <c r="G14" s="9">
        <v>87.935599999999994</v>
      </c>
      <c r="H14" s="3"/>
      <c r="I14" s="56">
        <f t="shared" si="0"/>
        <v>13.652999999999906</v>
      </c>
      <c r="J14" s="56" t="s">
        <v>10</v>
      </c>
      <c r="K14" s="56" t="s">
        <v>10</v>
      </c>
      <c r="L14" s="56" t="s">
        <v>10</v>
      </c>
      <c r="M14" s="3" t="s">
        <v>15</v>
      </c>
      <c r="N14" s="3" t="s">
        <v>15</v>
      </c>
      <c r="O14" s="3" t="s">
        <v>10</v>
      </c>
    </row>
    <row r="15" spans="1:15" x14ac:dyDescent="0.3">
      <c r="A15" s="42">
        <v>43151</v>
      </c>
      <c r="B15" s="85" t="s">
        <v>100</v>
      </c>
      <c r="C15" s="2" t="s">
        <v>93</v>
      </c>
      <c r="D15" s="3">
        <v>5</v>
      </c>
      <c r="E15" s="9">
        <v>10.0008</v>
      </c>
      <c r="F15" s="9">
        <v>87.904799999999994</v>
      </c>
      <c r="G15" s="9">
        <v>90.846100000000007</v>
      </c>
      <c r="H15" s="3"/>
      <c r="I15" s="56">
        <f t="shared" si="0"/>
        <v>29.410647148228264</v>
      </c>
      <c r="J15" s="56" t="s">
        <v>10</v>
      </c>
      <c r="K15" s="56" t="s">
        <v>10</v>
      </c>
      <c r="L15" s="56" t="s">
        <v>10</v>
      </c>
      <c r="M15" s="3" t="s">
        <v>14</v>
      </c>
      <c r="N15" s="3" t="s">
        <v>15</v>
      </c>
      <c r="O15" s="3" t="s">
        <v>10</v>
      </c>
    </row>
    <row r="16" spans="1:15" x14ac:dyDescent="0.3">
      <c r="A16" s="42">
        <v>43151</v>
      </c>
      <c r="B16" s="85" t="s">
        <v>97</v>
      </c>
      <c r="C16" s="2" t="s">
        <v>94</v>
      </c>
      <c r="D16" s="3">
        <v>3</v>
      </c>
      <c r="E16" s="9">
        <v>10.0047</v>
      </c>
      <c r="F16" s="9">
        <v>84.417299999999997</v>
      </c>
      <c r="G16" s="9">
        <v>86.228700000000003</v>
      </c>
      <c r="H16" s="3"/>
      <c r="I16" s="56">
        <f t="shared" si="0"/>
        <v>18.105490419502896</v>
      </c>
      <c r="J16" s="56" t="s">
        <v>10</v>
      </c>
      <c r="K16" s="56" t="s">
        <v>10</v>
      </c>
      <c r="L16" s="56" t="s">
        <v>10</v>
      </c>
      <c r="M16" s="3" t="s">
        <v>14</v>
      </c>
      <c r="N16" s="3" t="s">
        <v>15</v>
      </c>
      <c r="O16" s="3" t="s">
        <v>10</v>
      </c>
    </row>
    <row r="17" spans="1:16" x14ac:dyDescent="0.3">
      <c r="A17" s="42">
        <v>43151</v>
      </c>
      <c r="B17" s="85" t="s">
        <v>98</v>
      </c>
      <c r="C17" s="2" t="s">
        <v>95</v>
      </c>
      <c r="D17" s="3">
        <v>1</v>
      </c>
      <c r="E17" s="9">
        <v>10.0008</v>
      </c>
      <c r="F17" s="9">
        <v>86.815299999999993</v>
      </c>
      <c r="G17" s="9">
        <v>87.397999999999996</v>
      </c>
      <c r="H17" s="3"/>
      <c r="I17" s="56">
        <f t="shared" si="0"/>
        <v>5.826533877289843</v>
      </c>
      <c r="J17" s="56" t="s">
        <v>10</v>
      </c>
      <c r="K17" s="56" t="s">
        <v>10</v>
      </c>
      <c r="L17" s="56" t="s">
        <v>10</v>
      </c>
      <c r="M17" s="3" t="s">
        <v>14</v>
      </c>
      <c r="N17" s="3" t="s">
        <v>15</v>
      </c>
      <c r="O17" s="3" t="s">
        <v>10</v>
      </c>
    </row>
    <row r="18" spans="1:16" x14ac:dyDescent="0.3">
      <c r="A18" s="42">
        <v>43140</v>
      </c>
      <c r="B18" s="35" t="s">
        <v>289</v>
      </c>
      <c r="C18" s="26" t="s">
        <v>288</v>
      </c>
      <c r="D18" s="3">
        <v>1</v>
      </c>
      <c r="E18" s="27">
        <v>5.0004999999999997</v>
      </c>
      <c r="F18" s="27">
        <v>81.914699999999996</v>
      </c>
      <c r="G18" s="27">
        <v>82.09</v>
      </c>
      <c r="H18" s="3"/>
      <c r="I18" s="56">
        <f t="shared" si="0"/>
        <v>3.505649435056637</v>
      </c>
      <c r="J18" s="56" t="s">
        <v>10</v>
      </c>
      <c r="K18" s="56" t="s">
        <v>10</v>
      </c>
      <c r="L18" s="56" t="s">
        <v>10</v>
      </c>
      <c r="M18" s="3" t="s">
        <v>14</v>
      </c>
      <c r="N18" s="3" t="s">
        <v>15</v>
      </c>
      <c r="O18" s="3" t="s">
        <v>10</v>
      </c>
    </row>
    <row r="19" spans="1:16" x14ac:dyDescent="0.3">
      <c r="A19" s="42">
        <v>43151</v>
      </c>
      <c r="B19" s="85" t="s">
        <v>99</v>
      </c>
      <c r="C19" s="2" t="s">
        <v>96</v>
      </c>
      <c r="D19" s="3">
        <v>2</v>
      </c>
      <c r="E19" s="9">
        <v>10.000400000000001</v>
      </c>
      <c r="F19" s="9">
        <v>89.491500000000002</v>
      </c>
      <c r="G19" s="9">
        <v>90.6404</v>
      </c>
      <c r="H19" s="3"/>
      <c r="I19" s="56">
        <f t="shared" si="0"/>
        <v>11.488540458381639</v>
      </c>
      <c r="J19" s="56" t="s">
        <v>10</v>
      </c>
      <c r="K19" s="56" t="s">
        <v>10</v>
      </c>
      <c r="L19" s="56" t="s">
        <v>10</v>
      </c>
      <c r="M19" s="3" t="s">
        <v>14</v>
      </c>
      <c r="N19" s="3" t="s">
        <v>15</v>
      </c>
      <c r="O19" s="3" t="s">
        <v>10</v>
      </c>
    </row>
    <row r="20" spans="1:16" x14ac:dyDescent="0.3">
      <c r="A20" s="42">
        <v>43151</v>
      </c>
      <c r="B20" s="90" t="s">
        <v>107</v>
      </c>
      <c r="C20" s="1" t="s">
        <v>108</v>
      </c>
      <c r="D20" s="3">
        <v>1</v>
      </c>
      <c r="E20" s="9">
        <v>5.0000999999999998</v>
      </c>
      <c r="F20" s="9">
        <v>81.905199999999994</v>
      </c>
      <c r="G20" s="9">
        <v>82.330699999999993</v>
      </c>
      <c r="H20" s="3"/>
      <c r="I20" s="56">
        <f t="shared" si="0"/>
        <v>8.5098298034039228</v>
      </c>
      <c r="J20" s="56" t="s">
        <v>10</v>
      </c>
      <c r="K20" s="56" t="s">
        <v>10</v>
      </c>
      <c r="L20" s="56" t="s">
        <v>10</v>
      </c>
      <c r="M20" s="3" t="s">
        <v>14</v>
      </c>
      <c r="N20" s="3" t="s">
        <v>15</v>
      </c>
      <c r="O20" s="3" t="s">
        <v>10</v>
      </c>
    </row>
    <row r="21" spans="1:16" x14ac:dyDescent="0.3">
      <c r="A21" s="42">
        <v>43151</v>
      </c>
      <c r="B21" s="85" t="s">
        <v>87</v>
      </c>
      <c r="C21" s="2" t="s">
        <v>101</v>
      </c>
      <c r="D21" s="3">
        <v>1</v>
      </c>
      <c r="E21" s="9">
        <v>10.0001</v>
      </c>
      <c r="F21" s="9">
        <v>86.918800000000005</v>
      </c>
      <c r="G21" s="9">
        <v>87.0184</v>
      </c>
      <c r="H21" s="3"/>
      <c r="I21" s="56">
        <f t="shared" si="0"/>
        <v>0.9959900400995515</v>
      </c>
      <c r="J21" s="56" t="s">
        <v>10</v>
      </c>
      <c r="K21" s="56" t="s">
        <v>10</v>
      </c>
      <c r="L21" s="56" t="s">
        <v>10</v>
      </c>
      <c r="M21" s="3" t="s">
        <v>14</v>
      </c>
      <c r="N21" s="3" t="s">
        <v>15</v>
      </c>
      <c r="O21" s="3" t="s">
        <v>10</v>
      </c>
    </row>
    <row r="22" spans="1:16" x14ac:dyDescent="0.3">
      <c r="A22" s="42">
        <v>43151</v>
      </c>
      <c r="B22" s="85" t="s">
        <v>88</v>
      </c>
      <c r="C22" s="2" t="s">
        <v>102</v>
      </c>
      <c r="D22" s="3">
        <v>2</v>
      </c>
      <c r="E22" s="9">
        <v>10.000299999999999</v>
      </c>
      <c r="F22" s="9">
        <v>89.489800000000002</v>
      </c>
      <c r="G22" s="9">
        <v>89.539900000000003</v>
      </c>
      <c r="H22" s="3"/>
      <c r="I22" s="56">
        <f t="shared" si="0"/>
        <v>0.5009849704508913</v>
      </c>
      <c r="J22" s="56" t="s">
        <v>10</v>
      </c>
      <c r="K22" s="56" t="s">
        <v>10</v>
      </c>
      <c r="L22" s="56" t="s">
        <v>10</v>
      </c>
      <c r="M22" s="3" t="s">
        <v>14</v>
      </c>
      <c r="N22" s="3" t="s">
        <v>15</v>
      </c>
      <c r="O22" s="3" t="s">
        <v>10</v>
      </c>
    </row>
    <row r="23" spans="1:16" x14ac:dyDescent="0.3">
      <c r="A23" s="42">
        <v>43152</v>
      </c>
      <c r="B23" s="85" t="s">
        <v>89</v>
      </c>
      <c r="C23" s="2" t="s">
        <v>103</v>
      </c>
      <c r="D23" s="3">
        <v>3</v>
      </c>
      <c r="E23" s="9">
        <v>10.0001</v>
      </c>
      <c r="F23" s="9">
        <v>84.418999999999997</v>
      </c>
      <c r="G23" s="9">
        <v>84.532600000000002</v>
      </c>
      <c r="H23" s="3"/>
      <c r="I23" s="56">
        <f t="shared" si="0"/>
        <v>1.1359886401136514</v>
      </c>
      <c r="J23" s="56" t="s">
        <v>10</v>
      </c>
      <c r="K23" s="56" t="s">
        <v>10</v>
      </c>
      <c r="L23" s="56" t="s">
        <v>10</v>
      </c>
      <c r="M23" s="3" t="s">
        <v>14</v>
      </c>
      <c r="N23" s="3" t="s">
        <v>15</v>
      </c>
      <c r="O23" s="3" t="s">
        <v>10</v>
      </c>
    </row>
    <row r="24" spans="1:16" x14ac:dyDescent="0.3">
      <c r="A24" s="42">
        <v>43152</v>
      </c>
      <c r="B24" s="85" t="s">
        <v>90</v>
      </c>
      <c r="C24" s="2" t="s">
        <v>104</v>
      </c>
      <c r="D24" s="3">
        <v>4</v>
      </c>
      <c r="E24" s="9">
        <v>10.000400000000001</v>
      </c>
      <c r="F24" s="9">
        <v>87.900499999999994</v>
      </c>
      <c r="G24" s="9">
        <v>88.821899999999999</v>
      </c>
      <c r="H24" s="3"/>
      <c r="I24" s="56">
        <f t="shared" si="0"/>
        <v>9.213631454741865</v>
      </c>
      <c r="J24" s="56" t="s">
        <v>10</v>
      </c>
      <c r="K24" s="56" t="s">
        <v>10</v>
      </c>
      <c r="L24" s="56" t="s">
        <v>10</v>
      </c>
      <c r="M24" s="3" t="s">
        <v>14</v>
      </c>
      <c r="N24" s="3" t="s">
        <v>15</v>
      </c>
      <c r="O24" s="3" t="s">
        <v>10</v>
      </c>
    </row>
    <row r="25" spans="1:16" x14ac:dyDescent="0.3">
      <c r="A25" s="42">
        <v>43152</v>
      </c>
      <c r="B25" s="85" t="s">
        <v>91</v>
      </c>
      <c r="C25" s="2" t="s">
        <v>105</v>
      </c>
      <c r="D25" s="3">
        <v>5</v>
      </c>
      <c r="E25" s="9">
        <v>10.0002</v>
      </c>
      <c r="F25" s="9">
        <v>86.595799999999997</v>
      </c>
      <c r="G25" s="9">
        <v>90.756200000000007</v>
      </c>
      <c r="H25" s="3"/>
      <c r="I25" s="56">
        <f t="shared" si="0"/>
        <v>41.60316793664137</v>
      </c>
      <c r="J25" s="56" t="s">
        <v>10</v>
      </c>
      <c r="K25" s="56" t="s">
        <v>10</v>
      </c>
      <c r="L25" s="56" t="s">
        <v>10</v>
      </c>
      <c r="M25" s="3" t="s">
        <v>14</v>
      </c>
      <c r="N25" s="3" t="s">
        <v>15</v>
      </c>
      <c r="O25" s="3" t="s">
        <v>10</v>
      </c>
    </row>
    <row r="26" spans="1:16" x14ac:dyDescent="0.3">
      <c r="A26" s="42">
        <v>43152</v>
      </c>
      <c r="B26" s="85" t="s">
        <v>92</v>
      </c>
      <c r="C26" s="2" t="s">
        <v>106</v>
      </c>
      <c r="D26" s="3">
        <v>6</v>
      </c>
      <c r="E26" s="9">
        <v>10.0007</v>
      </c>
      <c r="F26" s="9">
        <v>88.156400000000005</v>
      </c>
      <c r="G26" s="9">
        <v>89.491399999999999</v>
      </c>
      <c r="H26" s="3"/>
      <c r="I26" s="56">
        <f t="shared" si="0"/>
        <v>13.34906556541036</v>
      </c>
      <c r="J26" s="56" t="s">
        <v>10</v>
      </c>
      <c r="K26" s="56" t="s">
        <v>10</v>
      </c>
      <c r="L26" s="56" t="s">
        <v>10</v>
      </c>
      <c r="M26" s="3" t="s">
        <v>14</v>
      </c>
      <c r="N26" s="3" t="s">
        <v>15</v>
      </c>
      <c r="O26" s="3" t="s">
        <v>10</v>
      </c>
    </row>
    <row r="27" spans="1:16" x14ac:dyDescent="0.3">
      <c r="A27" s="42">
        <v>43158</v>
      </c>
      <c r="B27" s="85" t="s">
        <v>110</v>
      </c>
      <c r="C27" s="2" t="s">
        <v>109</v>
      </c>
      <c r="D27" s="3">
        <v>6</v>
      </c>
      <c r="E27" s="9">
        <v>5</v>
      </c>
      <c r="F27" s="9">
        <v>87.537700000000001</v>
      </c>
      <c r="G27" s="9">
        <v>87.642700000000005</v>
      </c>
      <c r="H27" s="3"/>
      <c r="I27" s="56">
        <f t="shared" si="0"/>
        <v>2.1000000000000796</v>
      </c>
      <c r="J27" s="56" t="s">
        <v>10</v>
      </c>
      <c r="K27" s="56" t="s">
        <v>10</v>
      </c>
      <c r="L27" s="56" t="s">
        <v>10</v>
      </c>
      <c r="M27" s="3" t="s">
        <v>14</v>
      </c>
      <c r="N27" s="3" t="s">
        <v>15</v>
      </c>
      <c r="O27" s="3" t="s">
        <v>10</v>
      </c>
    </row>
    <row r="28" spans="1:16" x14ac:dyDescent="0.3">
      <c r="A28" s="42">
        <v>43158</v>
      </c>
      <c r="B28" s="85" t="s">
        <v>111</v>
      </c>
      <c r="C28" s="2" t="s">
        <v>112</v>
      </c>
      <c r="D28" s="3">
        <v>4</v>
      </c>
      <c r="E28" s="9">
        <v>5.0000999999999998</v>
      </c>
      <c r="F28" s="9">
        <v>89.489699999999999</v>
      </c>
      <c r="G28" s="9">
        <v>89.5886</v>
      </c>
      <c r="H28" s="3"/>
      <c r="I28" s="56">
        <f t="shared" si="0"/>
        <v>1.9779604407911928</v>
      </c>
      <c r="J28" s="56" t="s">
        <v>10</v>
      </c>
      <c r="K28" s="56" t="s">
        <v>10</v>
      </c>
      <c r="L28" s="56" t="s">
        <v>10</v>
      </c>
      <c r="M28" s="3" t="s">
        <v>14</v>
      </c>
      <c r="N28" s="3" t="s">
        <v>15</v>
      </c>
      <c r="O28" s="3" t="s">
        <v>10</v>
      </c>
    </row>
    <row r="29" spans="1:16" x14ac:dyDescent="0.3">
      <c r="A29" s="42">
        <v>43158</v>
      </c>
      <c r="B29" s="85" t="s">
        <v>114</v>
      </c>
      <c r="C29" s="2" t="s">
        <v>113</v>
      </c>
      <c r="D29" s="3">
        <v>5</v>
      </c>
      <c r="E29" s="9">
        <v>5.0004</v>
      </c>
      <c r="F29" s="9">
        <v>81.911500000000004</v>
      </c>
      <c r="G29" s="9">
        <v>82.01</v>
      </c>
      <c r="H29" s="3"/>
      <c r="I29" s="56">
        <f t="shared" si="0"/>
        <v>1.9698424126070189</v>
      </c>
      <c r="J29" s="56" t="s">
        <v>10</v>
      </c>
      <c r="K29" s="56" t="s">
        <v>10</v>
      </c>
      <c r="L29" s="56" t="s">
        <v>10</v>
      </c>
      <c r="M29" s="3" t="s">
        <v>14</v>
      </c>
      <c r="N29" s="3" t="s">
        <v>15</v>
      </c>
      <c r="O29" s="3" t="s">
        <v>10</v>
      </c>
    </row>
    <row r="30" spans="1:16" x14ac:dyDescent="0.3">
      <c r="A30" s="42">
        <v>43158</v>
      </c>
      <c r="B30" s="90" t="s">
        <v>107</v>
      </c>
      <c r="C30" s="1" t="s">
        <v>108</v>
      </c>
      <c r="D30" s="3">
        <v>3</v>
      </c>
      <c r="E30" s="9">
        <v>5</v>
      </c>
      <c r="F30" s="9">
        <v>86.570099999999996</v>
      </c>
      <c r="G30" s="9">
        <v>86.991900000000001</v>
      </c>
      <c r="H30" s="3"/>
      <c r="I30" s="56">
        <f t="shared" si="0"/>
        <v>8.4360000000000923</v>
      </c>
      <c r="J30" s="56" t="s">
        <v>10</v>
      </c>
      <c r="K30" s="56" t="s">
        <v>10</v>
      </c>
      <c r="L30" s="56" t="s">
        <v>10</v>
      </c>
      <c r="M30" s="3" t="s">
        <v>14</v>
      </c>
      <c r="N30" s="3" t="s">
        <v>15</v>
      </c>
      <c r="O30" s="3" t="s">
        <v>10</v>
      </c>
    </row>
    <row r="31" spans="1:16" x14ac:dyDescent="0.3">
      <c r="A31" s="42">
        <v>43158</v>
      </c>
      <c r="B31" s="90" t="s">
        <v>107</v>
      </c>
      <c r="C31" s="1" t="s">
        <v>108</v>
      </c>
      <c r="D31" s="3">
        <v>1</v>
      </c>
      <c r="E31" s="9">
        <v>5.0004</v>
      </c>
      <c r="F31" s="9">
        <v>86.597999999999999</v>
      </c>
      <c r="G31" s="9">
        <v>86.919799999999995</v>
      </c>
      <c r="H31" s="3"/>
      <c r="I31" s="56">
        <f t="shared" si="0"/>
        <v>6.4354851611870263</v>
      </c>
      <c r="J31" s="56" t="s">
        <v>10</v>
      </c>
      <c r="K31" s="56" t="s">
        <v>10</v>
      </c>
      <c r="L31" s="56" t="s">
        <v>10</v>
      </c>
      <c r="M31" s="3" t="s">
        <v>14</v>
      </c>
      <c r="N31" s="3" t="s">
        <v>15</v>
      </c>
      <c r="O31" s="3" t="s">
        <v>10</v>
      </c>
      <c r="P31" s="34"/>
    </row>
    <row r="32" spans="1:16" x14ac:dyDescent="0.3">
      <c r="A32" s="42">
        <v>43158</v>
      </c>
      <c r="B32" s="90" t="s">
        <v>107</v>
      </c>
      <c r="C32" s="1" t="s">
        <v>108</v>
      </c>
      <c r="D32" s="3" t="s">
        <v>10</v>
      </c>
      <c r="E32" s="9">
        <v>2.0005999999999999</v>
      </c>
      <c r="F32" s="9">
        <v>93.951800000000006</v>
      </c>
      <c r="G32" s="9">
        <v>94.086399999999998</v>
      </c>
      <c r="H32" s="3"/>
      <c r="I32" s="56">
        <f t="shared" si="0"/>
        <v>6.7279816055179369</v>
      </c>
      <c r="J32" s="56" t="s">
        <v>10</v>
      </c>
      <c r="K32" s="56" t="s">
        <v>10</v>
      </c>
      <c r="L32" s="56" t="s">
        <v>10</v>
      </c>
      <c r="M32" s="3" t="s">
        <v>14</v>
      </c>
      <c r="N32" s="3" t="s">
        <v>15</v>
      </c>
      <c r="O32" s="3" t="s">
        <v>115</v>
      </c>
    </row>
    <row r="33" spans="1:15" x14ac:dyDescent="0.3">
      <c r="A33" s="42">
        <v>43160</v>
      </c>
      <c r="B33" s="35" t="s">
        <v>120</v>
      </c>
      <c r="C33" s="1" t="s">
        <v>122</v>
      </c>
      <c r="D33" s="3" t="s">
        <v>10</v>
      </c>
      <c r="E33" s="9">
        <v>1.0003</v>
      </c>
      <c r="F33" s="9">
        <v>88.538200000000003</v>
      </c>
      <c r="G33" s="9">
        <v>88.798400000000001</v>
      </c>
      <c r="H33" s="3"/>
      <c r="I33" s="56">
        <f t="shared" si="0"/>
        <v>26.012196341097425</v>
      </c>
      <c r="J33" s="56" t="s">
        <v>10</v>
      </c>
      <c r="K33" s="56" t="s">
        <v>10</v>
      </c>
      <c r="L33" s="56" t="s">
        <v>10</v>
      </c>
      <c r="M33" s="3" t="s">
        <v>14</v>
      </c>
      <c r="N33" s="3" t="s">
        <v>15</v>
      </c>
      <c r="O33" s="3" t="s">
        <v>115</v>
      </c>
    </row>
    <row r="34" spans="1:15" x14ac:dyDescent="0.3">
      <c r="A34" s="42">
        <v>43160</v>
      </c>
      <c r="B34" s="35" t="s">
        <v>121</v>
      </c>
      <c r="C34" s="2" t="s">
        <v>123</v>
      </c>
      <c r="D34" s="3">
        <v>3</v>
      </c>
      <c r="E34" s="9">
        <v>5.0008999999999997</v>
      </c>
      <c r="F34" s="9">
        <v>86.595500000000001</v>
      </c>
      <c r="G34" s="9">
        <v>86.655699999999996</v>
      </c>
      <c r="H34" s="3"/>
      <c r="I34" s="56">
        <f t="shared" si="0"/>
        <v>1.2037833190024736</v>
      </c>
      <c r="J34" s="56" t="s">
        <v>10</v>
      </c>
      <c r="K34" s="56" t="s">
        <v>10</v>
      </c>
      <c r="L34" s="56" t="s">
        <v>10</v>
      </c>
      <c r="M34" s="3" t="s">
        <v>14</v>
      </c>
      <c r="N34" s="3" t="s">
        <v>15</v>
      </c>
      <c r="O34" s="3" t="s">
        <v>10</v>
      </c>
    </row>
    <row r="35" spans="1:15" x14ac:dyDescent="0.3">
      <c r="A35" s="42">
        <v>43160</v>
      </c>
      <c r="B35" s="85" t="s">
        <v>124</v>
      </c>
      <c r="C35" s="2" t="s">
        <v>125</v>
      </c>
      <c r="D35" s="3">
        <v>5</v>
      </c>
      <c r="E35" s="9">
        <v>5.0008999999999997</v>
      </c>
      <c r="F35" s="9">
        <v>88.159000000000006</v>
      </c>
      <c r="G35" s="9">
        <v>88.211299999999994</v>
      </c>
      <c r="H35" s="3"/>
      <c r="I35" s="56">
        <f t="shared" si="0"/>
        <v>1.0458117538840659</v>
      </c>
      <c r="J35" s="56" t="s">
        <v>10</v>
      </c>
      <c r="K35" s="56" t="s">
        <v>10</v>
      </c>
      <c r="L35" s="56" t="s">
        <v>10</v>
      </c>
      <c r="M35" s="3" t="s">
        <v>14</v>
      </c>
      <c r="N35" s="3" t="s">
        <v>15</v>
      </c>
      <c r="O35" s="3" t="s">
        <v>10</v>
      </c>
    </row>
    <row r="36" spans="1:15" x14ac:dyDescent="0.3">
      <c r="A36" s="42">
        <v>43158</v>
      </c>
      <c r="B36" s="85" t="s">
        <v>128</v>
      </c>
      <c r="C36" s="2" t="s">
        <v>129</v>
      </c>
      <c r="D36" s="3">
        <v>4</v>
      </c>
      <c r="E36" s="9">
        <v>5.0008999999999997</v>
      </c>
      <c r="F36" s="9">
        <v>87.899600000000007</v>
      </c>
      <c r="G36" s="9">
        <v>88.034499999999994</v>
      </c>
      <c r="H36" s="3"/>
      <c r="I36" s="56">
        <f t="shared" si="0"/>
        <v>2.6975144473992199</v>
      </c>
      <c r="J36" s="56" t="s">
        <v>10</v>
      </c>
      <c r="K36" s="56" t="s">
        <v>10</v>
      </c>
      <c r="L36" s="56" t="s">
        <v>10</v>
      </c>
      <c r="M36" s="3" t="s">
        <v>14</v>
      </c>
      <c r="N36" s="3" t="s">
        <v>15</v>
      </c>
      <c r="O36" s="3" t="s">
        <v>10</v>
      </c>
    </row>
    <row r="37" spans="1:15" x14ac:dyDescent="0.3">
      <c r="A37" s="42">
        <v>43158</v>
      </c>
      <c r="B37" s="85" t="s">
        <v>131</v>
      </c>
      <c r="C37" s="2" t="s">
        <v>130</v>
      </c>
      <c r="D37" s="3">
        <v>3</v>
      </c>
      <c r="E37" s="9">
        <v>5.0006000000000004</v>
      </c>
      <c r="F37" s="9">
        <v>89.875799999999998</v>
      </c>
      <c r="G37" s="9">
        <v>90.028400000000005</v>
      </c>
      <c r="H37" s="3"/>
      <c r="I37" s="56">
        <f t="shared" si="0"/>
        <v>3.0516338039436612</v>
      </c>
      <c r="J37" s="56" t="s">
        <v>10</v>
      </c>
      <c r="K37" s="56" t="s">
        <v>10</v>
      </c>
      <c r="L37" s="56" t="s">
        <v>10</v>
      </c>
      <c r="M37" s="3" t="s">
        <v>14</v>
      </c>
      <c r="N37" s="3" t="s">
        <v>15</v>
      </c>
      <c r="O37" s="3" t="s">
        <v>10</v>
      </c>
    </row>
    <row r="38" spans="1:15" x14ac:dyDescent="0.3">
      <c r="A38" s="42">
        <v>43158</v>
      </c>
      <c r="B38" s="85" t="s">
        <v>134</v>
      </c>
      <c r="C38" s="2" t="s">
        <v>132</v>
      </c>
      <c r="D38" s="3">
        <v>3</v>
      </c>
      <c r="E38" s="9">
        <v>5.0000999999999998</v>
      </c>
      <c r="F38" s="9">
        <v>93.952600000000004</v>
      </c>
      <c r="G38" s="9">
        <v>94.707300000000004</v>
      </c>
      <c r="H38" s="3"/>
      <c r="I38" s="56">
        <f t="shared" si="0"/>
        <v>15.093698126037475</v>
      </c>
      <c r="J38" s="56" t="s">
        <v>10</v>
      </c>
      <c r="K38" s="56" t="s">
        <v>10</v>
      </c>
      <c r="L38" s="56" t="s">
        <v>10</v>
      </c>
      <c r="M38" s="3" t="s">
        <v>14</v>
      </c>
      <c r="N38" s="3" t="s">
        <v>15</v>
      </c>
      <c r="O38" s="3" t="s">
        <v>10</v>
      </c>
    </row>
    <row r="39" spans="1:15" x14ac:dyDescent="0.3">
      <c r="A39" s="42">
        <v>43158</v>
      </c>
      <c r="B39" s="85" t="s">
        <v>135</v>
      </c>
      <c r="C39" s="2" t="s">
        <v>133</v>
      </c>
      <c r="D39" s="3">
        <v>6</v>
      </c>
      <c r="E39" s="9">
        <v>5.0003000000000002</v>
      </c>
      <c r="F39" s="9">
        <v>89.490499999999997</v>
      </c>
      <c r="G39" s="9">
        <v>90.207599999999999</v>
      </c>
      <c r="H39" s="3"/>
      <c r="I39" s="56">
        <f t="shared" si="0"/>
        <v>14.341139531628144</v>
      </c>
      <c r="J39" s="56" t="s">
        <v>10</v>
      </c>
      <c r="K39" s="56" t="s">
        <v>10</v>
      </c>
      <c r="L39" s="56" t="s">
        <v>10</v>
      </c>
      <c r="M39" s="3" t="s">
        <v>14</v>
      </c>
      <c r="N39" s="3" t="s">
        <v>15</v>
      </c>
      <c r="O39" s="3" t="s">
        <v>10</v>
      </c>
    </row>
    <row r="40" spans="1:15" x14ac:dyDescent="0.3">
      <c r="A40" s="42">
        <v>43158</v>
      </c>
      <c r="B40" s="85" t="s">
        <v>137</v>
      </c>
      <c r="C40" s="2" t="s">
        <v>136</v>
      </c>
      <c r="D40" s="3">
        <v>2</v>
      </c>
      <c r="E40" s="9">
        <v>5.0007000000000001</v>
      </c>
      <c r="F40" s="9">
        <v>88.537899999999993</v>
      </c>
      <c r="G40" s="9">
        <v>88.810400000000001</v>
      </c>
      <c r="H40" s="3"/>
      <c r="I40" s="56">
        <f t="shared" si="0"/>
        <v>5.4492371068052066</v>
      </c>
      <c r="J40" s="56" t="s">
        <v>10</v>
      </c>
      <c r="K40" s="56" t="s">
        <v>10</v>
      </c>
      <c r="L40" s="56" t="s">
        <v>10</v>
      </c>
      <c r="M40" s="3" t="s">
        <v>14</v>
      </c>
      <c r="N40" s="3" t="s">
        <v>15</v>
      </c>
      <c r="O40" s="3" t="s">
        <v>10</v>
      </c>
    </row>
    <row r="41" spans="1:15" x14ac:dyDescent="0.3">
      <c r="A41" s="42">
        <v>43158</v>
      </c>
      <c r="B41" s="85" t="s">
        <v>139</v>
      </c>
      <c r="C41" s="2" t="s">
        <v>138</v>
      </c>
      <c r="D41" s="3">
        <v>5</v>
      </c>
      <c r="E41" s="9">
        <v>5.0000999999999998</v>
      </c>
      <c r="F41" s="9">
        <v>81.911199999999994</v>
      </c>
      <c r="G41" s="9">
        <v>82.06</v>
      </c>
      <c r="H41" s="3"/>
      <c r="I41" s="56">
        <f t="shared" si="0"/>
        <v>2.9759404811905461</v>
      </c>
      <c r="J41" s="56" t="s">
        <v>10</v>
      </c>
      <c r="K41" s="56" t="s">
        <v>10</v>
      </c>
      <c r="L41" s="56" t="s">
        <v>10</v>
      </c>
      <c r="M41" s="3" t="s">
        <v>14</v>
      </c>
      <c r="N41" s="3" t="s">
        <v>15</v>
      </c>
      <c r="O41" s="3" t="s">
        <v>10</v>
      </c>
    </row>
    <row r="42" spans="1:15" x14ac:dyDescent="0.3">
      <c r="A42" s="42">
        <v>43158</v>
      </c>
      <c r="B42" s="85" t="s">
        <v>141</v>
      </c>
      <c r="C42" s="2" t="s">
        <v>140</v>
      </c>
      <c r="D42" s="3">
        <v>4</v>
      </c>
      <c r="E42" s="9">
        <v>5.0004</v>
      </c>
      <c r="F42" s="9">
        <v>88.537999999999997</v>
      </c>
      <c r="G42" s="9">
        <v>88.741900000000001</v>
      </c>
      <c r="H42" s="3"/>
      <c r="I42" s="56">
        <f t="shared" si="0"/>
        <v>4.0776737860972005</v>
      </c>
      <c r="J42" s="56" t="s">
        <v>10</v>
      </c>
      <c r="K42" s="56" t="s">
        <v>10</v>
      </c>
      <c r="L42" s="56" t="s">
        <v>10</v>
      </c>
      <c r="M42" s="3" t="s">
        <v>14</v>
      </c>
      <c r="N42" s="3" t="s">
        <v>15</v>
      </c>
      <c r="O42" s="3" t="s">
        <v>10</v>
      </c>
    </row>
    <row r="43" spans="1:15" x14ac:dyDescent="0.3">
      <c r="A43" s="42">
        <v>43158</v>
      </c>
      <c r="B43" s="85" t="s">
        <v>143</v>
      </c>
      <c r="C43" s="2" t="s">
        <v>142</v>
      </c>
      <c r="D43" s="3">
        <v>4</v>
      </c>
      <c r="E43" s="9">
        <v>5.0002000000000004</v>
      </c>
      <c r="F43" s="9">
        <v>88.158100000000005</v>
      </c>
      <c r="G43" s="9">
        <v>88.360799999999998</v>
      </c>
      <c r="H43" s="3"/>
      <c r="I43" s="56">
        <f t="shared" si="0"/>
        <v>4.0538378464860001</v>
      </c>
      <c r="J43" s="56" t="s">
        <v>10</v>
      </c>
      <c r="K43" s="56" t="s">
        <v>10</v>
      </c>
      <c r="L43" s="56" t="s">
        <v>10</v>
      </c>
      <c r="M43" s="3" t="s">
        <v>14</v>
      </c>
      <c r="N43" s="3" t="s">
        <v>15</v>
      </c>
      <c r="O43" s="3" t="s">
        <v>10</v>
      </c>
    </row>
    <row r="44" spans="1:15" x14ac:dyDescent="0.3">
      <c r="A44" s="42">
        <v>43158</v>
      </c>
      <c r="B44" s="85" t="s">
        <v>145</v>
      </c>
      <c r="C44" s="2" t="s">
        <v>144</v>
      </c>
      <c r="D44" s="3">
        <v>2</v>
      </c>
      <c r="E44" s="9">
        <v>5</v>
      </c>
      <c r="F44" s="9">
        <v>86.916200000000003</v>
      </c>
      <c r="G44" s="9">
        <v>87.575599999999994</v>
      </c>
      <c r="H44" s="3"/>
      <c r="I44" s="56">
        <f t="shared" si="0"/>
        <v>13.187999999999816</v>
      </c>
      <c r="J44" s="56" t="s">
        <v>10</v>
      </c>
      <c r="K44" s="56" t="s">
        <v>10</v>
      </c>
      <c r="L44" s="56" t="s">
        <v>10</v>
      </c>
      <c r="M44" s="3" t="s">
        <v>14</v>
      </c>
      <c r="N44" s="3" t="s">
        <v>15</v>
      </c>
      <c r="O44" s="3" t="s">
        <v>10</v>
      </c>
    </row>
    <row r="45" spans="1:15" x14ac:dyDescent="0.3">
      <c r="A45" s="42">
        <v>43158</v>
      </c>
      <c r="B45" s="85" t="s">
        <v>147</v>
      </c>
      <c r="C45" s="2" t="s">
        <v>146</v>
      </c>
      <c r="D45" s="3">
        <v>5</v>
      </c>
      <c r="E45" s="9">
        <v>5.0004999999999997</v>
      </c>
      <c r="F45" s="9">
        <v>84.419600000000003</v>
      </c>
      <c r="G45" s="9">
        <v>85.364599999999996</v>
      </c>
      <c r="H45" s="3"/>
      <c r="I45" s="56">
        <f t="shared" si="0"/>
        <v>18.898110188980965</v>
      </c>
      <c r="J45" s="56" t="s">
        <v>10</v>
      </c>
      <c r="K45" s="56" t="s">
        <v>10</v>
      </c>
      <c r="L45" s="56" t="s">
        <v>10</v>
      </c>
      <c r="M45" s="3" t="s">
        <v>14</v>
      </c>
      <c r="N45" s="3" t="s">
        <v>15</v>
      </c>
      <c r="O45" s="3" t="s">
        <v>10</v>
      </c>
    </row>
    <row r="46" spans="1:15" x14ac:dyDescent="0.3">
      <c r="A46" s="42">
        <v>43158</v>
      </c>
      <c r="B46" s="85" t="s">
        <v>149</v>
      </c>
      <c r="C46" s="2" t="s">
        <v>148</v>
      </c>
      <c r="D46" s="3">
        <v>1</v>
      </c>
      <c r="E46" s="9">
        <v>5.0008999999999997</v>
      </c>
      <c r="F46" s="9">
        <v>86.9161</v>
      </c>
      <c r="G46" s="9">
        <v>87.4024</v>
      </c>
      <c r="H46" s="3"/>
      <c r="I46" s="56">
        <f t="shared" si="0"/>
        <v>9.7242496350656875</v>
      </c>
      <c r="J46" s="56" t="s">
        <v>10</v>
      </c>
      <c r="K46" s="56" t="s">
        <v>10</v>
      </c>
      <c r="L46" s="56" t="s">
        <v>10</v>
      </c>
      <c r="M46" s="3" t="s">
        <v>14</v>
      </c>
      <c r="N46" s="3" t="s">
        <v>15</v>
      </c>
      <c r="O46" s="3" t="s">
        <v>10</v>
      </c>
    </row>
    <row r="47" spans="1:15" x14ac:dyDescent="0.3">
      <c r="A47" s="42">
        <v>43158</v>
      </c>
      <c r="B47" s="85" t="s">
        <v>151</v>
      </c>
      <c r="C47" s="2" t="s">
        <v>150</v>
      </c>
      <c r="D47" s="3">
        <v>6</v>
      </c>
      <c r="E47" s="9">
        <v>5.0007999999999999</v>
      </c>
      <c r="F47" s="9">
        <v>81.912099999999995</v>
      </c>
      <c r="G47" s="9">
        <v>82.3386</v>
      </c>
      <c r="H47" s="3"/>
      <c r="I47" s="56">
        <f t="shared" si="0"/>
        <v>8.5286354183331543</v>
      </c>
      <c r="J47" s="56" t="s">
        <v>10</v>
      </c>
      <c r="K47" s="56" t="s">
        <v>10</v>
      </c>
      <c r="L47" s="56" t="s">
        <v>10</v>
      </c>
      <c r="M47" s="3" t="s">
        <v>14</v>
      </c>
      <c r="N47" s="3" t="s">
        <v>15</v>
      </c>
      <c r="O47" s="3" t="s">
        <v>10</v>
      </c>
    </row>
    <row r="48" spans="1:15" x14ac:dyDescent="0.3">
      <c r="A48" s="42">
        <v>43158</v>
      </c>
      <c r="B48" s="85" t="s">
        <v>152</v>
      </c>
      <c r="C48" s="2" t="s">
        <v>153</v>
      </c>
      <c r="D48" s="3">
        <v>2</v>
      </c>
      <c r="E48" s="9">
        <v>5.0008999999999997</v>
      </c>
      <c r="F48" s="9">
        <v>88.157399999999996</v>
      </c>
      <c r="G48" s="9">
        <v>88.234300000000005</v>
      </c>
      <c r="H48" s="3"/>
      <c r="I48" s="56">
        <f t="shared" si="0"/>
        <v>1.5377232098224134</v>
      </c>
      <c r="J48" s="56" t="s">
        <v>10</v>
      </c>
      <c r="K48" s="56" t="s">
        <v>10</v>
      </c>
      <c r="L48" s="56" t="s">
        <v>10</v>
      </c>
      <c r="M48" s="3" t="s">
        <v>14</v>
      </c>
      <c r="N48" s="3" t="s">
        <v>15</v>
      </c>
      <c r="O48" s="3" t="s">
        <v>10</v>
      </c>
    </row>
    <row r="49" spans="1:15" x14ac:dyDescent="0.3">
      <c r="A49" s="42">
        <v>43161</v>
      </c>
      <c r="B49" s="85" t="s">
        <v>154</v>
      </c>
      <c r="C49" s="2" t="s">
        <v>155</v>
      </c>
      <c r="D49" s="3">
        <v>1</v>
      </c>
      <c r="E49" s="9">
        <v>5.0007000000000001</v>
      </c>
      <c r="F49" s="9">
        <v>88.493499999999997</v>
      </c>
      <c r="G49" s="9">
        <v>88.495999999999995</v>
      </c>
      <c r="H49" s="56" t="e">
        <f>+#REF!</f>
        <v>#REF!</v>
      </c>
      <c r="I49" s="56" t="e">
        <f t="shared" si="0"/>
        <v>#REF!</v>
      </c>
      <c r="J49" s="56" t="s">
        <v>10</v>
      </c>
      <c r="K49" s="56" t="s">
        <v>10</v>
      </c>
      <c r="L49" s="56" t="s">
        <v>10</v>
      </c>
      <c r="M49" s="3" t="s">
        <v>14</v>
      </c>
      <c r="N49" s="3" t="s">
        <v>15</v>
      </c>
      <c r="O49" s="3" t="s">
        <v>10</v>
      </c>
    </row>
    <row r="50" spans="1:15" x14ac:dyDescent="0.3">
      <c r="A50" s="42">
        <v>43162</v>
      </c>
      <c r="B50" s="85" t="s">
        <v>242</v>
      </c>
      <c r="C50" s="2" t="s">
        <v>243</v>
      </c>
      <c r="D50" s="3">
        <v>6</v>
      </c>
      <c r="E50" s="9">
        <v>1.5146999999999999</v>
      </c>
      <c r="F50" s="9">
        <v>84.418899999999994</v>
      </c>
      <c r="G50" s="9">
        <v>84.421800000000005</v>
      </c>
      <c r="H50" s="56" t="e">
        <f>+#REF!</f>
        <v>#REF!</v>
      </c>
      <c r="I50" s="56" t="e">
        <f t="shared" si="0"/>
        <v>#REF!</v>
      </c>
      <c r="J50" s="56" t="s">
        <v>10</v>
      </c>
      <c r="K50" s="56" t="s">
        <v>10</v>
      </c>
      <c r="L50" s="56" t="s">
        <v>10</v>
      </c>
      <c r="M50" s="3" t="s">
        <v>14</v>
      </c>
      <c r="N50" s="3" t="s">
        <v>15</v>
      </c>
      <c r="O50" s="3" t="s">
        <v>10</v>
      </c>
    </row>
    <row r="51" spans="1:15" x14ac:dyDescent="0.3">
      <c r="A51" s="42">
        <v>43167</v>
      </c>
      <c r="B51" s="85" t="s">
        <v>245</v>
      </c>
      <c r="C51" s="2" t="s">
        <v>244</v>
      </c>
      <c r="D51" s="3">
        <v>1</v>
      </c>
      <c r="E51" s="9">
        <v>5.0007999999999999</v>
      </c>
      <c r="F51" s="9">
        <v>87.897000000000006</v>
      </c>
      <c r="G51" s="9">
        <v>87.966999999999999</v>
      </c>
      <c r="H51" s="3"/>
      <c r="I51" s="56">
        <f t="shared" si="0"/>
        <v>1.39977603583413</v>
      </c>
      <c r="J51" s="56" t="s">
        <v>10</v>
      </c>
      <c r="K51" s="56" t="s">
        <v>10</v>
      </c>
      <c r="L51" s="56" t="s">
        <v>10</v>
      </c>
      <c r="M51" s="3" t="s">
        <v>14</v>
      </c>
      <c r="N51" s="3" t="s">
        <v>15</v>
      </c>
      <c r="O51" s="3" t="s">
        <v>10</v>
      </c>
    </row>
    <row r="52" spans="1:15" x14ac:dyDescent="0.3">
      <c r="A52" s="42">
        <v>43168</v>
      </c>
      <c r="B52" s="85" t="s">
        <v>246</v>
      </c>
      <c r="C52" s="2" t="s">
        <v>244</v>
      </c>
      <c r="D52" s="3">
        <v>2</v>
      </c>
      <c r="E52" s="9">
        <v>5.0000999999999998</v>
      </c>
      <c r="F52" s="9">
        <v>88.537899999999993</v>
      </c>
      <c r="G52" s="9">
        <v>88.600499999999997</v>
      </c>
      <c r="H52" s="3"/>
      <c r="I52" s="56">
        <f t="shared" si="0"/>
        <v>1.2519749605008563</v>
      </c>
      <c r="J52" s="56" t="s">
        <v>10</v>
      </c>
      <c r="K52" s="56" t="s">
        <v>10</v>
      </c>
      <c r="L52" s="56" t="s">
        <v>10</v>
      </c>
      <c r="M52" s="3" t="s">
        <v>14</v>
      </c>
      <c r="N52" s="3" t="s">
        <v>15</v>
      </c>
      <c r="O52" s="3" t="s">
        <v>10</v>
      </c>
    </row>
    <row r="53" spans="1:15" x14ac:dyDescent="0.3">
      <c r="A53" s="42">
        <v>43166</v>
      </c>
      <c r="B53" s="85" t="s">
        <v>220</v>
      </c>
      <c r="C53" s="2" t="s">
        <v>219</v>
      </c>
      <c r="D53" s="3">
        <v>2</v>
      </c>
      <c r="E53" s="9">
        <v>10.0009</v>
      </c>
      <c r="F53" s="9">
        <v>81.912499999999994</v>
      </c>
      <c r="G53" s="9">
        <v>81.912800000000004</v>
      </c>
      <c r="H53" s="3"/>
      <c r="I53" s="56">
        <f t="shared" si="0"/>
        <v>2.9997300243973942E-3</v>
      </c>
      <c r="J53" s="56" t="s">
        <v>10</v>
      </c>
      <c r="K53" s="56" t="s">
        <v>10</v>
      </c>
      <c r="L53" s="56" t="s">
        <v>10</v>
      </c>
      <c r="M53" s="3" t="s">
        <v>14</v>
      </c>
      <c r="N53" s="3" t="s">
        <v>15</v>
      </c>
      <c r="O53" s="3" t="s">
        <v>10</v>
      </c>
    </row>
    <row r="54" spans="1:15" x14ac:dyDescent="0.3">
      <c r="A54" s="42">
        <v>43166</v>
      </c>
      <c r="B54" s="85" t="s">
        <v>220</v>
      </c>
      <c r="C54" s="2" t="s">
        <v>219</v>
      </c>
      <c r="D54" s="3">
        <v>3</v>
      </c>
      <c r="E54" s="9">
        <v>10.0008</v>
      </c>
      <c r="F54" s="9">
        <v>86.595500000000001</v>
      </c>
      <c r="G54" s="9">
        <v>86.596599999999995</v>
      </c>
      <c r="H54" s="3"/>
      <c r="I54" s="56">
        <f t="shared" si="0"/>
        <v>1.0999120070333209E-2</v>
      </c>
      <c r="J54" s="56" t="s">
        <v>10</v>
      </c>
      <c r="K54" s="56" t="s">
        <v>10</v>
      </c>
      <c r="L54" s="56" t="s">
        <v>10</v>
      </c>
      <c r="M54" s="3" t="s">
        <v>14</v>
      </c>
      <c r="N54" s="3" t="s">
        <v>15</v>
      </c>
      <c r="O54" s="3" t="s">
        <v>10</v>
      </c>
    </row>
    <row r="55" spans="1:15" x14ac:dyDescent="0.3">
      <c r="A55" s="42">
        <v>43166</v>
      </c>
      <c r="B55" s="85" t="s">
        <v>260</v>
      </c>
      <c r="C55" s="2" t="s">
        <v>261</v>
      </c>
      <c r="D55" s="3">
        <v>1</v>
      </c>
      <c r="E55" s="9">
        <v>10.000400000000001</v>
      </c>
      <c r="F55" s="9">
        <v>93.953000000000003</v>
      </c>
      <c r="G55" s="9">
        <v>93.953500000000005</v>
      </c>
      <c r="H55" s="3"/>
      <c r="I55" s="56">
        <f t="shared" si="0"/>
        <v>4.9998000080235527E-3</v>
      </c>
      <c r="J55" s="56" t="s">
        <v>10</v>
      </c>
      <c r="K55" s="56" t="s">
        <v>10</v>
      </c>
      <c r="L55" s="56" t="s">
        <v>10</v>
      </c>
      <c r="M55" s="3" t="s">
        <v>14</v>
      </c>
      <c r="N55" s="3" t="s">
        <v>15</v>
      </c>
      <c r="O55" s="3" t="s">
        <v>10</v>
      </c>
    </row>
    <row r="56" spans="1:15" x14ac:dyDescent="0.3">
      <c r="A56" s="42">
        <v>43166</v>
      </c>
      <c r="B56" s="85" t="s">
        <v>258</v>
      </c>
      <c r="C56" s="2" t="s">
        <v>259</v>
      </c>
      <c r="D56" s="3">
        <v>5</v>
      </c>
      <c r="E56" s="9">
        <v>5.0007000000000001</v>
      </c>
      <c r="F56" s="9">
        <v>89.875100000000003</v>
      </c>
      <c r="G56" s="9">
        <v>90.842799999999997</v>
      </c>
      <c r="H56" s="56" t="e">
        <f>+#REF!</f>
        <v>#REF!</v>
      </c>
      <c r="I56" s="56" t="e">
        <f t="shared" si="0"/>
        <v>#REF!</v>
      </c>
      <c r="J56" s="56" t="s">
        <v>10</v>
      </c>
      <c r="K56" s="56" t="s">
        <v>10</v>
      </c>
      <c r="L56" s="56" t="s">
        <v>10</v>
      </c>
      <c r="M56" s="3" t="s">
        <v>14</v>
      </c>
      <c r="N56" s="3" t="s">
        <v>15</v>
      </c>
      <c r="O56" s="3" t="s">
        <v>10</v>
      </c>
    </row>
    <row r="57" spans="1:15" x14ac:dyDescent="0.3">
      <c r="A57" s="42">
        <v>43166</v>
      </c>
      <c r="B57" s="85" t="s">
        <v>265</v>
      </c>
      <c r="C57" s="2" t="s">
        <v>266</v>
      </c>
      <c r="D57" s="3">
        <v>4</v>
      </c>
      <c r="E57" s="9">
        <v>5.0004999999999997</v>
      </c>
      <c r="F57" s="9">
        <v>86.918800000000005</v>
      </c>
      <c r="G57" s="9">
        <v>86.965999999999994</v>
      </c>
      <c r="H57" s="56" t="e">
        <f>+#REF!</f>
        <v>#REF!</v>
      </c>
      <c r="I57" s="56" t="e">
        <f t="shared" si="0"/>
        <v>#REF!</v>
      </c>
      <c r="J57" s="56" t="s">
        <v>10</v>
      </c>
      <c r="K57" s="56" t="s">
        <v>10</v>
      </c>
      <c r="L57" s="56" t="s">
        <v>10</v>
      </c>
      <c r="M57" s="3" t="s">
        <v>14</v>
      </c>
      <c r="N57" s="3" t="s">
        <v>15</v>
      </c>
      <c r="O57" s="3" t="s">
        <v>10</v>
      </c>
    </row>
    <row r="58" spans="1:15" x14ac:dyDescent="0.3">
      <c r="A58" s="42">
        <v>43156</v>
      </c>
      <c r="B58" s="91" t="s">
        <v>251</v>
      </c>
      <c r="C58" s="19" t="s">
        <v>255</v>
      </c>
      <c r="D58" s="3">
        <v>1</v>
      </c>
      <c r="E58" s="9">
        <v>2.0004</v>
      </c>
      <c r="F58" s="9">
        <v>88.539500000000004</v>
      </c>
      <c r="G58" s="9">
        <v>88.620400000000004</v>
      </c>
      <c r="H58" s="3">
        <v>58.91</v>
      </c>
      <c r="I58" s="56">
        <f t="shared" si="0"/>
        <v>1.6617581483703208</v>
      </c>
      <c r="J58" s="56" t="s">
        <v>10</v>
      </c>
      <c r="K58" s="56" t="s">
        <v>10</v>
      </c>
      <c r="L58" s="56" t="s">
        <v>10</v>
      </c>
      <c r="M58" s="3" t="s">
        <v>14</v>
      </c>
      <c r="N58" s="3" t="s">
        <v>15</v>
      </c>
      <c r="O58" s="3" t="s">
        <v>10</v>
      </c>
    </row>
    <row r="59" spans="1:15" x14ac:dyDescent="0.3">
      <c r="A59" s="42">
        <v>43156</v>
      </c>
      <c r="B59" s="91" t="s">
        <v>254</v>
      </c>
      <c r="C59" s="19" t="s">
        <v>271</v>
      </c>
      <c r="D59" s="3">
        <v>2</v>
      </c>
      <c r="E59" s="9">
        <v>2.0009000000000001</v>
      </c>
      <c r="F59" s="9">
        <v>89.495900000000006</v>
      </c>
      <c r="G59" s="9">
        <v>89.673000000000002</v>
      </c>
      <c r="H59" s="3">
        <v>78.650000000000006</v>
      </c>
      <c r="I59" s="56">
        <f t="shared" si="0"/>
        <v>1.8896921385376129</v>
      </c>
      <c r="J59" s="56" t="s">
        <v>10</v>
      </c>
      <c r="K59" s="56" t="s">
        <v>10</v>
      </c>
      <c r="L59" s="56" t="s">
        <v>10</v>
      </c>
      <c r="M59" s="3" t="s">
        <v>14</v>
      </c>
      <c r="N59" s="3" t="s">
        <v>15</v>
      </c>
      <c r="O59" s="3" t="s">
        <v>10</v>
      </c>
    </row>
    <row r="60" spans="1:15" x14ac:dyDescent="0.3">
      <c r="A60" s="42">
        <v>43156</v>
      </c>
      <c r="B60" s="91" t="s">
        <v>273</v>
      </c>
      <c r="C60" s="19" t="s">
        <v>272</v>
      </c>
      <c r="D60" s="3">
        <v>3</v>
      </c>
      <c r="E60" s="9">
        <v>0.55720000000000003</v>
      </c>
      <c r="F60" s="9">
        <v>89.875</v>
      </c>
      <c r="G60" s="9">
        <v>89.884699999999995</v>
      </c>
      <c r="H60" s="3">
        <v>94.51</v>
      </c>
      <c r="I60" s="56">
        <f t="shared" si="0"/>
        <v>9.5572505384015363E-2</v>
      </c>
      <c r="J60" s="56" t="s">
        <v>10</v>
      </c>
      <c r="K60" s="56" t="s">
        <v>10</v>
      </c>
      <c r="L60" s="56" t="s">
        <v>10</v>
      </c>
      <c r="M60" s="3" t="s">
        <v>14</v>
      </c>
      <c r="N60" s="3" t="s">
        <v>15</v>
      </c>
      <c r="O60" s="3" t="s">
        <v>10</v>
      </c>
    </row>
    <row r="61" spans="1:15" x14ac:dyDescent="0.3">
      <c r="A61" s="42">
        <v>43156</v>
      </c>
      <c r="B61" s="91" t="s">
        <v>252</v>
      </c>
      <c r="C61" s="19" t="s">
        <v>256</v>
      </c>
      <c r="D61" s="3">
        <v>4</v>
      </c>
      <c r="E61" s="9">
        <v>1.3879999999999999</v>
      </c>
      <c r="F61" s="9">
        <v>86.916399999999996</v>
      </c>
      <c r="G61" s="9">
        <v>86.940399999999997</v>
      </c>
      <c r="H61" s="3">
        <v>85.6</v>
      </c>
      <c r="I61" s="56">
        <f t="shared" si="0"/>
        <v>0.24899135446686832</v>
      </c>
      <c r="J61" s="56" t="s">
        <v>10</v>
      </c>
      <c r="K61" s="56" t="s">
        <v>10</v>
      </c>
      <c r="L61" s="56" t="s">
        <v>10</v>
      </c>
      <c r="M61" s="3" t="s">
        <v>14</v>
      </c>
      <c r="N61" s="3" t="s">
        <v>15</v>
      </c>
      <c r="O61" s="3" t="s">
        <v>10</v>
      </c>
    </row>
    <row r="62" spans="1:15" x14ac:dyDescent="0.3">
      <c r="A62" s="42">
        <v>43156</v>
      </c>
      <c r="B62" s="91" t="s">
        <v>262</v>
      </c>
      <c r="C62" s="19" t="s">
        <v>274</v>
      </c>
      <c r="D62" s="3">
        <v>5</v>
      </c>
      <c r="E62" s="9">
        <v>2.0007999999999999</v>
      </c>
      <c r="F62" s="9">
        <v>86.57</v>
      </c>
      <c r="G62" s="9">
        <v>87.322100000000006</v>
      </c>
      <c r="H62" s="3">
        <v>79.91</v>
      </c>
      <c r="I62" s="56">
        <f t="shared" si="0"/>
        <v>7.551823770491934</v>
      </c>
      <c r="J62" s="56" t="s">
        <v>10</v>
      </c>
      <c r="K62" s="56" t="s">
        <v>10</v>
      </c>
      <c r="L62" s="56" t="s">
        <v>10</v>
      </c>
      <c r="M62" s="3" t="s">
        <v>14</v>
      </c>
      <c r="N62" s="3" t="s">
        <v>15</v>
      </c>
      <c r="O62" s="3" t="s">
        <v>10</v>
      </c>
    </row>
    <row r="63" spans="1:15" x14ac:dyDescent="0.3">
      <c r="A63" s="42">
        <v>43156</v>
      </c>
      <c r="B63" s="91" t="s">
        <v>264</v>
      </c>
      <c r="C63" s="19" t="s">
        <v>263</v>
      </c>
      <c r="D63" s="3">
        <v>6</v>
      </c>
      <c r="E63" s="9">
        <v>0.19719999999999999</v>
      </c>
      <c r="F63" s="9">
        <v>81.913399999999996</v>
      </c>
      <c r="G63" s="9">
        <v>81.92</v>
      </c>
      <c r="H63" s="3">
        <v>94.85</v>
      </c>
      <c r="I63" s="56">
        <f t="shared" si="0"/>
        <v>0.17236308316445539</v>
      </c>
      <c r="J63" s="56" t="s">
        <v>10</v>
      </c>
      <c r="K63" s="56" t="s">
        <v>10</v>
      </c>
      <c r="L63" s="56" t="s">
        <v>10</v>
      </c>
      <c r="M63" s="3" t="s">
        <v>14</v>
      </c>
      <c r="N63" s="3" t="s">
        <v>15</v>
      </c>
      <c r="O63" s="3" t="s">
        <v>10</v>
      </c>
    </row>
    <row r="64" spans="1:15" x14ac:dyDescent="0.3">
      <c r="A64" s="42">
        <v>43156</v>
      </c>
      <c r="B64" s="91" t="s">
        <v>253</v>
      </c>
      <c r="C64" s="19" t="s">
        <v>257</v>
      </c>
      <c r="D64" s="3">
        <v>1</v>
      </c>
      <c r="E64" s="9">
        <v>1.2723</v>
      </c>
      <c r="F64" s="9">
        <v>89.872699999999995</v>
      </c>
      <c r="G64" s="9">
        <v>89.920299999999997</v>
      </c>
      <c r="H64" s="3">
        <v>78.91</v>
      </c>
      <c r="I64" s="56">
        <f t="shared" ref="I64:I127" si="1">((G64-F64)/(E64))*100*((100-H64)/100)</f>
        <v>0.78903088894133322</v>
      </c>
      <c r="J64" s="56" t="s">
        <v>10</v>
      </c>
      <c r="K64" s="56" t="s">
        <v>10</v>
      </c>
      <c r="L64" s="56" t="s">
        <v>10</v>
      </c>
      <c r="M64" s="3" t="s">
        <v>14</v>
      </c>
      <c r="N64" s="3" t="s">
        <v>15</v>
      </c>
      <c r="O64" s="3" t="s">
        <v>10</v>
      </c>
    </row>
    <row r="65" spans="1:15" x14ac:dyDescent="0.3">
      <c r="A65" s="42">
        <v>43173</v>
      </c>
      <c r="B65" s="85" t="s">
        <v>277</v>
      </c>
      <c r="C65" s="8" t="s">
        <v>278</v>
      </c>
      <c r="D65" s="3" t="s">
        <v>127</v>
      </c>
      <c r="E65" s="9">
        <v>10.0009</v>
      </c>
      <c r="F65" s="9">
        <v>89.491200000000006</v>
      </c>
      <c r="G65" s="9">
        <v>89.694900000000004</v>
      </c>
      <c r="H65" s="3"/>
      <c r="I65" s="56">
        <f t="shared" si="1"/>
        <v>2.0368166864981929</v>
      </c>
      <c r="J65" s="56" t="s">
        <v>10</v>
      </c>
      <c r="K65" s="56" t="s">
        <v>10</v>
      </c>
      <c r="L65" s="56" t="s">
        <v>10</v>
      </c>
      <c r="M65" s="3" t="s">
        <v>14</v>
      </c>
      <c r="N65" s="3" t="s">
        <v>15</v>
      </c>
      <c r="O65" s="3" t="s">
        <v>279</v>
      </c>
    </row>
    <row r="66" spans="1:15" x14ac:dyDescent="0.3">
      <c r="A66" s="42">
        <v>43174</v>
      </c>
      <c r="B66" s="85" t="s">
        <v>280</v>
      </c>
      <c r="C66" s="2" t="s">
        <v>281</v>
      </c>
      <c r="D66" s="3">
        <v>1</v>
      </c>
      <c r="E66" s="9">
        <v>5.0007999999999999</v>
      </c>
      <c r="F66" s="9">
        <v>93.953500000000005</v>
      </c>
      <c r="G66" s="9">
        <v>94.2042</v>
      </c>
      <c r="H66" s="3"/>
      <c r="I66" s="56">
        <f t="shared" si="1"/>
        <v>5.0131978883377624</v>
      </c>
      <c r="J66" s="56" t="s">
        <v>10</v>
      </c>
      <c r="K66" s="56" t="s">
        <v>10</v>
      </c>
      <c r="L66" s="56" t="s">
        <v>10</v>
      </c>
      <c r="M66" s="3" t="s">
        <v>14</v>
      </c>
      <c r="N66" s="3" t="s">
        <v>15</v>
      </c>
      <c r="O66" s="3" t="s">
        <v>10</v>
      </c>
    </row>
    <row r="67" spans="1:15" x14ac:dyDescent="0.3">
      <c r="A67" s="42">
        <v>43174</v>
      </c>
      <c r="B67" s="85" t="s">
        <v>282</v>
      </c>
      <c r="C67" s="2" t="s">
        <v>283</v>
      </c>
      <c r="D67" s="3">
        <v>2</v>
      </c>
      <c r="E67" s="9">
        <v>5.0007999999999999</v>
      </c>
      <c r="F67" s="9">
        <v>86.916499999999999</v>
      </c>
      <c r="G67" s="9">
        <v>87.036900000000003</v>
      </c>
      <c r="H67" s="3"/>
      <c r="I67" s="56">
        <f t="shared" si="1"/>
        <v>2.4076147816350106</v>
      </c>
      <c r="J67" s="56" t="s">
        <v>10</v>
      </c>
      <c r="K67" s="56" t="s">
        <v>10</v>
      </c>
      <c r="L67" s="56" t="s">
        <v>10</v>
      </c>
      <c r="M67" s="3" t="s">
        <v>14</v>
      </c>
      <c r="N67" s="3" t="s">
        <v>15</v>
      </c>
      <c r="O67" s="3" t="s">
        <v>10</v>
      </c>
    </row>
    <row r="68" spans="1:15" x14ac:dyDescent="0.3">
      <c r="A68" s="42">
        <v>43175</v>
      </c>
      <c r="B68" s="85" t="s">
        <v>280</v>
      </c>
      <c r="C68" s="2" t="s">
        <v>281</v>
      </c>
      <c r="D68" s="3">
        <v>1</v>
      </c>
      <c r="E68" s="9">
        <v>5.0007000000000001</v>
      </c>
      <c r="F68" s="9">
        <v>86.570599999999999</v>
      </c>
      <c r="G68" s="9">
        <v>86.764499999999998</v>
      </c>
      <c r="H68" s="3"/>
      <c r="I68" s="56">
        <f t="shared" si="1"/>
        <v>3.8774571559981457</v>
      </c>
      <c r="J68" s="56" t="s">
        <v>10</v>
      </c>
      <c r="K68" s="56" t="s">
        <v>10</v>
      </c>
      <c r="L68" s="56" t="s">
        <v>10</v>
      </c>
      <c r="M68" s="3" t="s">
        <v>14</v>
      </c>
      <c r="N68" s="3" t="s">
        <v>15</v>
      </c>
      <c r="O68" s="56">
        <f>+(I66+I70)/2</f>
        <v>4.9373558684765761</v>
      </c>
    </row>
    <row r="69" spans="1:15" x14ac:dyDescent="0.3">
      <c r="A69" s="42">
        <v>43175</v>
      </c>
      <c r="B69" s="85" t="s">
        <v>282</v>
      </c>
      <c r="C69" s="2" t="s">
        <v>283</v>
      </c>
      <c r="D69" s="3">
        <v>2</v>
      </c>
      <c r="E69" s="9">
        <v>5.0007999999999999</v>
      </c>
      <c r="F69" s="9">
        <v>81.912300000000002</v>
      </c>
      <c r="G69" s="9">
        <v>82.020700000000005</v>
      </c>
      <c r="H69" s="3"/>
      <c r="I69" s="56">
        <f t="shared" si="1"/>
        <v>2.1676531754919846</v>
      </c>
      <c r="J69" s="56" t="s">
        <v>10</v>
      </c>
      <c r="K69" s="56" t="s">
        <v>10</v>
      </c>
      <c r="L69" s="56" t="s">
        <v>10</v>
      </c>
      <c r="M69" s="3" t="s">
        <v>14</v>
      </c>
      <c r="N69" s="3" t="s">
        <v>15</v>
      </c>
      <c r="O69" s="56">
        <f>+(I67+I69+I71)/3</f>
        <v>2.3856355092423303</v>
      </c>
    </row>
    <row r="70" spans="1:15" x14ac:dyDescent="0.3">
      <c r="A70" s="42">
        <v>43179</v>
      </c>
      <c r="B70" s="85" t="s">
        <v>280</v>
      </c>
      <c r="C70" s="2" t="s">
        <v>281</v>
      </c>
      <c r="D70" s="3">
        <v>1</v>
      </c>
      <c r="E70" s="9">
        <v>5.0004999999999997</v>
      </c>
      <c r="F70" s="9">
        <v>88.539199999999994</v>
      </c>
      <c r="G70" s="9">
        <v>88.782300000000006</v>
      </c>
      <c r="H70" s="3"/>
      <c r="I70" s="56">
        <f t="shared" si="1"/>
        <v>4.861513848615389</v>
      </c>
      <c r="J70" s="56" t="s">
        <v>10</v>
      </c>
      <c r="K70" s="56" t="s">
        <v>10</v>
      </c>
      <c r="L70" s="56" t="s">
        <v>10</v>
      </c>
      <c r="M70" s="3" t="s">
        <v>14</v>
      </c>
      <c r="N70" s="3" t="s">
        <v>15</v>
      </c>
      <c r="O70" s="3" t="s">
        <v>10</v>
      </c>
    </row>
    <row r="71" spans="1:15" x14ac:dyDescent="0.3">
      <c r="A71" s="42">
        <v>43179</v>
      </c>
      <c r="B71" s="85" t="s">
        <v>282</v>
      </c>
      <c r="C71" s="2" t="s">
        <v>283</v>
      </c>
      <c r="D71" s="3">
        <v>2</v>
      </c>
      <c r="E71" s="9">
        <v>5.0007000000000001</v>
      </c>
      <c r="F71" s="9">
        <v>87.900800000000004</v>
      </c>
      <c r="G71" s="9">
        <v>88.029899999999998</v>
      </c>
      <c r="H71" s="3"/>
      <c r="I71" s="56">
        <f t="shared" si="1"/>
        <v>2.5816385705999956</v>
      </c>
      <c r="J71" s="56" t="s">
        <v>10</v>
      </c>
      <c r="K71" s="56" t="s">
        <v>10</v>
      </c>
      <c r="L71" s="56" t="s">
        <v>10</v>
      </c>
      <c r="M71" s="3" t="s">
        <v>14</v>
      </c>
      <c r="N71" s="3" t="s">
        <v>15</v>
      </c>
      <c r="O71" s="3" t="s">
        <v>10</v>
      </c>
    </row>
    <row r="72" spans="1:15" x14ac:dyDescent="0.3">
      <c r="A72" s="42">
        <v>43181</v>
      </c>
      <c r="B72" s="92" t="s">
        <v>291</v>
      </c>
      <c r="C72" s="2" t="s">
        <v>290</v>
      </c>
      <c r="D72" s="3">
        <v>1</v>
      </c>
      <c r="E72" s="9">
        <v>5.0002000000000004</v>
      </c>
      <c r="F72" s="9">
        <v>93.953599999999994</v>
      </c>
      <c r="G72" s="9">
        <v>93.953699999999998</v>
      </c>
      <c r="H72" s="3"/>
      <c r="I72" s="56">
        <f t="shared" si="1"/>
        <v>1.9999200032662623E-3</v>
      </c>
      <c r="J72" s="56" t="s">
        <v>10</v>
      </c>
      <c r="K72" s="56" t="s">
        <v>10</v>
      </c>
      <c r="L72" s="56" t="s">
        <v>10</v>
      </c>
      <c r="M72" s="3" t="s">
        <v>14</v>
      </c>
      <c r="N72" s="3" t="s">
        <v>15</v>
      </c>
      <c r="O72" s="3" t="s">
        <v>10</v>
      </c>
    </row>
    <row r="73" spans="1:15" x14ac:dyDescent="0.3">
      <c r="A73" s="42">
        <v>43181</v>
      </c>
      <c r="B73" s="85" t="s">
        <v>292</v>
      </c>
      <c r="C73" s="2" t="s">
        <v>293</v>
      </c>
      <c r="D73" s="3">
        <v>2</v>
      </c>
      <c r="E73" s="9">
        <v>5.0003000000000002</v>
      </c>
      <c r="F73" s="9">
        <v>84.491200000000006</v>
      </c>
      <c r="G73" s="9">
        <v>84.491399999999999</v>
      </c>
      <c r="H73" s="3"/>
      <c r="I73" s="56">
        <f t="shared" si="1"/>
        <v>3.9997600142477139E-3</v>
      </c>
      <c r="J73" s="56" t="s">
        <v>10</v>
      </c>
      <c r="K73" s="56" t="s">
        <v>10</v>
      </c>
      <c r="L73" s="56" t="s">
        <v>10</v>
      </c>
      <c r="M73" s="3" t="s">
        <v>14</v>
      </c>
      <c r="N73" s="3" t="s">
        <v>15</v>
      </c>
      <c r="O73" s="3" t="s">
        <v>10</v>
      </c>
    </row>
    <row r="74" spans="1:15" x14ac:dyDescent="0.3">
      <c r="A74" s="42">
        <v>43180</v>
      </c>
      <c r="B74" s="85" t="s">
        <v>294</v>
      </c>
      <c r="C74" s="2" t="s">
        <v>295</v>
      </c>
      <c r="D74" s="3">
        <v>5</v>
      </c>
      <c r="E74" s="9">
        <v>5.0000999999999998</v>
      </c>
      <c r="F74" s="9">
        <v>86.570899999999995</v>
      </c>
      <c r="G74" s="9">
        <v>86.577399999999997</v>
      </c>
      <c r="H74" s="3"/>
      <c r="I74" s="56">
        <f t="shared" si="1"/>
        <v>0.12999740005205127</v>
      </c>
      <c r="J74" s="56" t="s">
        <v>10</v>
      </c>
      <c r="K74" s="56" t="s">
        <v>10</v>
      </c>
      <c r="L74" s="56" t="s">
        <v>10</v>
      </c>
      <c r="M74" s="3" t="s">
        <v>14</v>
      </c>
      <c r="N74" s="3" t="s">
        <v>15</v>
      </c>
      <c r="O74" s="3" t="s">
        <v>10</v>
      </c>
    </row>
    <row r="75" spans="1:15" x14ac:dyDescent="0.3">
      <c r="A75" s="42">
        <v>43181</v>
      </c>
      <c r="B75" s="85" t="s">
        <v>296</v>
      </c>
      <c r="C75" s="2" t="s">
        <v>297</v>
      </c>
      <c r="D75" s="3">
        <v>6</v>
      </c>
      <c r="E75" s="9">
        <v>5.0004</v>
      </c>
      <c r="F75" s="9">
        <v>88.159099999999995</v>
      </c>
      <c r="G75" s="9">
        <v>88.405299999999997</v>
      </c>
      <c r="H75" s="3"/>
      <c r="I75" s="56">
        <f t="shared" si="1"/>
        <v>4.9236061115111145</v>
      </c>
      <c r="J75" s="56" t="s">
        <v>10</v>
      </c>
      <c r="K75" s="56" t="s">
        <v>10</v>
      </c>
      <c r="L75" s="56" t="s">
        <v>10</v>
      </c>
      <c r="M75" s="3" t="s">
        <v>14</v>
      </c>
      <c r="N75" s="3" t="s">
        <v>15</v>
      </c>
      <c r="O75" s="3" t="s">
        <v>10</v>
      </c>
    </row>
    <row r="76" spans="1:15" x14ac:dyDescent="0.3">
      <c r="A76" s="42">
        <v>43185</v>
      </c>
      <c r="B76" s="85" t="s">
        <v>298</v>
      </c>
      <c r="C76" s="2" t="s">
        <v>299</v>
      </c>
      <c r="D76" s="3">
        <v>2</v>
      </c>
      <c r="E76" s="15">
        <v>2.0005999999999999</v>
      </c>
      <c r="F76" s="9">
        <v>89.875600000000006</v>
      </c>
      <c r="G76" s="9">
        <v>89.873900000000006</v>
      </c>
      <c r="H76" s="63" t="e">
        <f>+#REF!</f>
        <v>#REF!</v>
      </c>
      <c r="I76" s="56" t="e">
        <f t="shared" si="1"/>
        <v>#REF!</v>
      </c>
      <c r="J76" s="56" t="s">
        <v>10</v>
      </c>
      <c r="K76" s="56" t="s">
        <v>10</v>
      </c>
      <c r="L76" s="56" t="s">
        <v>10</v>
      </c>
      <c r="M76" s="3" t="s">
        <v>14</v>
      </c>
      <c r="N76" s="3" t="s">
        <v>15</v>
      </c>
      <c r="O76" s="3" t="s">
        <v>10</v>
      </c>
    </row>
    <row r="77" spans="1:15" x14ac:dyDescent="0.3">
      <c r="A77" s="42">
        <v>43185</v>
      </c>
      <c r="B77" s="85" t="s">
        <v>301</v>
      </c>
      <c r="C77" s="2" t="s">
        <v>300</v>
      </c>
      <c r="D77" s="3">
        <v>3</v>
      </c>
      <c r="E77" s="15">
        <v>2.0009000000000001</v>
      </c>
      <c r="F77" s="9">
        <v>88.493700000000004</v>
      </c>
      <c r="G77" s="9">
        <v>88.493700000000004</v>
      </c>
      <c r="H77" s="63" t="e">
        <f>+#REF!</f>
        <v>#REF!</v>
      </c>
      <c r="I77" s="56" t="e">
        <f t="shared" si="1"/>
        <v>#REF!</v>
      </c>
      <c r="J77" s="56" t="s">
        <v>10</v>
      </c>
      <c r="K77" s="56" t="s">
        <v>10</v>
      </c>
      <c r="L77" s="56" t="s">
        <v>10</v>
      </c>
      <c r="M77" s="3" t="s">
        <v>14</v>
      </c>
      <c r="N77" s="3" t="s">
        <v>15</v>
      </c>
      <c r="O77" s="3" t="s">
        <v>10</v>
      </c>
    </row>
    <row r="78" spans="1:15" x14ac:dyDescent="0.3">
      <c r="A78" s="42">
        <v>43185</v>
      </c>
      <c r="B78" s="85" t="s">
        <v>304</v>
      </c>
      <c r="C78" s="2" t="s">
        <v>305</v>
      </c>
      <c r="D78" s="3">
        <v>4</v>
      </c>
      <c r="E78" s="15">
        <v>2.0007999999999999</v>
      </c>
      <c r="F78" s="9">
        <v>81.913700000000006</v>
      </c>
      <c r="G78" s="9">
        <v>81.915599999999998</v>
      </c>
      <c r="H78" s="63" t="e">
        <f>+#REF!</f>
        <v>#REF!</v>
      </c>
      <c r="I78" s="56" t="e">
        <f t="shared" si="1"/>
        <v>#REF!</v>
      </c>
      <c r="J78" s="56" t="s">
        <v>10</v>
      </c>
      <c r="K78" s="56" t="s">
        <v>10</v>
      </c>
      <c r="L78" s="56" t="s">
        <v>10</v>
      </c>
      <c r="M78" s="3" t="s">
        <v>14</v>
      </c>
      <c r="N78" s="3" t="s">
        <v>15</v>
      </c>
      <c r="O78" s="3" t="s">
        <v>10</v>
      </c>
    </row>
    <row r="79" spans="1:15" x14ac:dyDescent="0.3">
      <c r="A79" s="42">
        <v>43185</v>
      </c>
      <c r="B79" s="85" t="s">
        <v>303</v>
      </c>
      <c r="C79" s="2" t="s">
        <v>302</v>
      </c>
      <c r="D79" s="3">
        <v>5</v>
      </c>
      <c r="E79" s="15">
        <v>2.0003000000000002</v>
      </c>
      <c r="F79" s="9">
        <v>87.900499999999994</v>
      </c>
      <c r="G79" s="9">
        <v>87.9</v>
      </c>
      <c r="H79" s="63" t="e">
        <f>+#REF!</f>
        <v>#REF!</v>
      </c>
      <c r="I79" s="56" t="e">
        <f t="shared" si="1"/>
        <v>#REF!</v>
      </c>
      <c r="J79" s="56" t="s">
        <v>10</v>
      </c>
      <c r="K79" s="56" t="s">
        <v>10</v>
      </c>
      <c r="L79" s="56" t="s">
        <v>10</v>
      </c>
      <c r="M79" s="3" t="s">
        <v>14</v>
      </c>
      <c r="N79" s="3" t="s">
        <v>15</v>
      </c>
      <c r="O79" s="3" t="s">
        <v>10</v>
      </c>
    </row>
    <row r="80" spans="1:15" x14ac:dyDescent="0.3">
      <c r="A80" s="42">
        <v>43179</v>
      </c>
      <c r="B80" s="85" t="s">
        <v>309</v>
      </c>
      <c r="C80" s="2" t="s">
        <v>308</v>
      </c>
      <c r="D80" s="3">
        <v>3</v>
      </c>
      <c r="E80" s="9">
        <v>10.0002</v>
      </c>
      <c r="F80" s="9">
        <v>86.917299999999997</v>
      </c>
      <c r="G80" s="9">
        <v>90.678799999999995</v>
      </c>
      <c r="H80" s="3"/>
      <c r="I80" s="56">
        <f t="shared" si="1"/>
        <v>37.614247715045678</v>
      </c>
      <c r="J80" s="56" t="s">
        <v>10</v>
      </c>
      <c r="K80" s="56" t="s">
        <v>10</v>
      </c>
      <c r="L80" s="56" t="s">
        <v>10</v>
      </c>
      <c r="M80" s="3" t="s">
        <v>14</v>
      </c>
      <c r="N80" s="3" t="s">
        <v>15</v>
      </c>
      <c r="O80" s="3" t="s">
        <v>10</v>
      </c>
    </row>
    <row r="81" spans="1:15" x14ac:dyDescent="0.3">
      <c r="A81" s="42">
        <v>43179</v>
      </c>
      <c r="B81" s="85" t="s">
        <v>311</v>
      </c>
      <c r="C81" s="2" t="s">
        <v>310</v>
      </c>
      <c r="D81" s="3">
        <v>4</v>
      </c>
      <c r="E81" s="9">
        <v>10.0009</v>
      </c>
      <c r="F81" s="9">
        <v>93.953900000000004</v>
      </c>
      <c r="G81" s="9">
        <v>97.436800000000005</v>
      </c>
      <c r="H81" s="3"/>
      <c r="I81" s="56">
        <f t="shared" si="1"/>
        <v>34.82586567208952</v>
      </c>
      <c r="J81" s="56" t="s">
        <v>10</v>
      </c>
      <c r="K81" s="56" t="s">
        <v>10</v>
      </c>
      <c r="L81" s="56" t="s">
        <v>10</v>
      </c>
      <c r="M81" s="3" t="s">
        <v>14</v>
      </c>
      <c r="N81" s="3" t="s">
        <v>15</v>
      </c>
      <c r="O81" s="3" t="s">
        <v>10</v>
      </c>
    </row>
    <row r="82" spans="1:15" x14ac:dyDescent="0.3">
      <c r="A82" s="42">
        <v>43179</v>
      </c>
      <c r="B82" s="85" t="s">
        <v>312</v>
      </c>
      <c r="C82" s="2" t="s">
        <v>315</v>
      </c>
      <c r="D82" s="3">
        <v>5</v>
      </c>
      <c r="E82" s="9">
        <v>10.0009</v>
      </c>
      <c r="F82" s="9">
        <v>84.419300000000007</v>
      </c>
      <c r="G82" s="9">
        <v>87.612399999999994</v>
      </c>
      <c r="H82" s="3"/>
      <c r="I82" s="56">
        <f t="shared" si="1"/>
        <v>31.928126468617695</v>
      </c>
      <c r="J82" s="56" t="s">
        <v>10</v>
      </c>
      <c r="K82" s="56" t="s">
        <v>10</v>
      </c>
      <c r="L82" s="56" t="s">
        <v>10</v>
      </c>
      <c r="M82" s="3" t="s">
        <v>14</v>
      </c>
      <c r="N82" s="3" t="s">
        <v>15</v>
      </c>
      <c r="O82" s="3" t="s">
        <v>10</v>
      </c>
    </row>
    <row r="83" spans="1:15" x14ac:dyDescent="0.3">
      <c r="A83" s="42">
        <v>43179</v>
      </c>
      <c r="B83" s="85" t="s">
        <v>313</v>
      </c>
      <c r="C83" s="2" t="s">
        <v>316</v>
      </c>
      <c r="D83" s="3">
        <v>6</v>
      </c>
      <c r="E83" s="9">
        <v>5.0004999999999997</v>
      </c>
      <c r="F83" s="9">
        <v>89.491100000000003</v>
      </c>
      <c r="G83" s="9">
        <v>90.57</v>
      </c>
      <c r="H83" s="3"/>
      <c r="I83" s="56">
        <f t="shared" si="1"/>
        <v>21.575842415758228</v>
      </c>
      <c r="J83" s="56" t="s">
        <v>10</v>
      </c>
      <c r="K83" s="56" t="s">
        <v>10</v>
      </c>
      <c r="L83" s="56" t="s">
        <v>10</v>
      </c>
      <c r="M83" s="3" t="s">
        <v>14</v>
      </c>
      <c r="N83" s="3" t="s">
        <v>15</v>
      </c>
      <c r="O83" s="3" t="s">
        <v>10</v>
      </c>
    </row>
    <row r="84" spans="1:15" x14ac:dyDescent="0.3">
      <c r="A84" s="42">
        <v>43180</v>
      </c>
      <c r="B84" s="85" t="s">
        <v>314</v>
      </c>
      <c r="C84" s="2" t="s">
        <v>317</v>
      </c>
      <c r="D84" s="3">
        <v>1</v>
      </c>
      <c r="E84" s="9">
        <v>5.0004</v>
      </c>
      <c r="F84" s="9">
        <v>88.539400000000001</v>
      </c>
      <c r="G84" s="9">
        <v>89.701300000000003</v>
      </c>
      <c r="H84" s="3"/>
      <c r="I84" s="56">
        <f t="shared" si="1"/>
        <v>23.236141108711358</v>
      </c>
      <c r="J84" s="56" t="s">
        <v>10</v>
      </c>
      <c r="K84" s="56" t="s">
        <v>10</v>
      </c>
      <c r="L84" s="56" t="s">
        <v>10</v>
      </c>
      <c r="M84" s="3" t="s">
        <v>14</v>
      </c>
      <c r="N84" s="3" t="s">
        <v>15</v>
      </c>
      <c r="O84" s="3" t="s">
        <v>10</v>
      </c>
    </row>
    <row r="85" spans="1:15" x14ac:dyDescent="0.3">
      <c r="A85" s="42">
        <v>43180</v>
      </c>
      <c r="B85" s="85" t="s">
        <v>321</v>
      </c>
      <c r="C85" s="2" t="s">
        <v>318</v>
      </c>
      <c r="D85" s="3">
        <v>2</v>
      </c>
      <c r="E85" s="9">
        <v>5</v>
      </c>
      <c r="F85" s="9">
        <v>86.596000000000004</v>
      </c>
      <c r="G85" s="9">
        <v>87.536000000000001</v>
      </c>
      <c r="H85" s="3"/>
      <c r="I85" s="56">
        <f t="shared" si="1"/>
        <v>18.799999999999955</v>
      </c>
      <c r="J85" s="56" t="s">
        <v>10</v>
      </c>
      <c r="K85" s="56" t="s">
        <v>10</v>
      </c>
      <c r="L85" s="56" t="s">
        <v>10</v>
      </c>
      <c r="M85" s="3" t="s">
        <v>14</v>
      </c>
      <c r="N85" s="3" t="s">
        <v>15</v>
      </c>
      <c r="O85" s="3" t="s">
        <v>10</v>
      </c>
    </row>
    <row r="86" spans="1:15" x14ac:dyDescent="0.3">
      <c r="A86" s="42">
        <v>43180</v>
      </c>
      <c r="B86" s="85" t="s">
        <v>322</v>
      </c>
      <c r="C86" s="2" t="s">
        <v>319</v>
      </c>
      <c r="D86" s="3">
        <v>3</v>
      </c>
      <c r="E86" s="9">
        <v>5.0002000000000004</v>
      </c>
      <c r="F86" s="9">
        <v>89.875100000000003</v>
      </c>
      <c r="G86" s="9">
        <v>90.882800000000003</v>
      </c>
      <c r="H86" s="3"/>
      <c r="I86" s="56">
        <f t="shared" si="1"/>
        <v>20.153193872245105</v>
      </c>
      <c r="J86" s="56" t="s">
        <v>10</v>
      </c>
      <c r="K86" s="56" t="s">
        <v>10</v>
      </c>
      <c r="L86" s="56" t="s">
        <v>10</v>
      </c>
      <c r="M86" s="3" t="s">
        <v>14</v>
      </c>
      <c r="N86" s="3" t="s">
        <v>15</v>
      </c>
      <c r="O86" s="3" t="s">
        <v>10</v>
      </c>
    </row>
    <row r="87" spans="1:15" x14ac:dyDescent="0.3">
      <c r="A87" s="42">
        <v>43180</v>
      </c>
      <c r="B87" s="85" t="s">
        <v>323</v>
      </c>
      <c r="C87" s="2" t="s">
        <v>320</v>
      </c>
      <c r="D87" s="3">
        <v>4</v>
      </c>
      <c r="E87" s="9">
        <v>5.0003000000000002</v>
      </c>
      <c r="F87" s="9">
        <v>81.913200000000003</v>
      </c>
      <c r="G87" s="9">
        <v>82.862499999999997</v>
      </c>
      <c r="H87" s="3"/>
      <c r="I87" s="56">
        <f t="shared" si="1"/>
        <v>18.984860908345375</v>
      </c>
      <c r="J87" s="56" t="s">
        <v>10</v>
      </c>
      <c r="K87" s="56" t="s">
        <v>10</v>
      </c>
      <c r="L87" s="56" t="s">
        <v>10</v>
      </c>
      <c r="M87" s="3" t="s">
        <v>14</v>
      </c>
      <c r="N87" s="3" t="s">
        <v>15</v>
      </c>
      <c r="O87" s="3" t="s">
        <v>10</v>
      </c>
    </row>
    <row r="88" spans="1:15" x14ac:dyDescent="0.3">
      <c r="A88" s="42">
        <v>43185</v>
      </c>
      <c r="B88" s="85" t="s">
        <v>326</v>
      </c>
      <c r="C88" s="2" t="s">
        <v>325</v>
      </c>
      <c r="D88" s="3">
        <v>1</v>
      </c>
      <c r="E88" s="9">
        <v>5.0008999999999997</v>
      </c>
      <c r="F88" s="9">
        <v>86.571200000000005</v>
      </c>
      <c r="G88" s="9">
        <v>87.602500000000006</v>
      </c>
      <c r="H88" s="3">
        <v>28.48</v>
      </c>
      <c r="I88" s="56">
        <f t="shared" si="1"/>
        <v>14.749060369133581</v>
      </c>
      <c r="J88" s="56" t="s">
        <v>10</v>
      </c>
      <c r="K88" s="56" t="s">
        <v>10</v>
      </c>
      <c r="L88" s="56" t="s">
        <v>10</v>
      </c>
      <c r="M88" s="3" t="s">
        <v>14</v>
      </c>
      <c r="N88" s="3" t="s">
        <v>15</v>
      </c>
      <c r="O88" s="3" t="s">
        <v>10</v>
      </c>
    </row>
    <row r="89" spans="1:15" x14ac:dyDescent="0.3">
      <c r="A89" s="42">
        <v>43194</v>
      </c>
      <c r="B89" s="85" t="s">
        <v>327</v>
      </c>
      <c r="C89" s="2" t="s">
        <v>333</v>
      </c>
      <c r="D89" s="3">
        <v>1</v>
      </c>
      <c r="E89" s="9">
        <v>2.0003000000000002</v>
      </c>
      <c r="F89" s="9">
        <v>81.908199999999994</v>
      </c>
      <c r="G89" s="9">
        <v>82.317400000000006</v>
      </c>
      <c r="H89" s="3"/>
      <c r="I89" s="56">
        <f t="shared" si="1"/>
        <v>20.456931460281588</v>
      </c>
      <c r="J89" s="56" t="s">
        <v>10</v>
      </c>
      <c r="K89" s="56" t="s">
        <v>10</v>
      </c>
      <c r="L89" s="56" t="s">
        <v>10</v>
      </c>
      <c r="M89" s="3" t="s">
        <v>14</v>
      </c>
      <c r="N89" s="3" t="s">
        <v>15</v>
      </c>
      <c r="O89" s="3" t="s">
        <v>10</v>
      </c>
    </row>
    <row r="90" spans="1:15" x14ac:dyDescent="0.3">
      <c r="A90" s="42">
        <v>43194</v>
      </c>
      <c r="B90" s="85" t="s">
        <v>328</v>
      </c>
      <c r="C90" s="2" t="s">
        <v>335</v>
      </c>
      <c r="D90" s="3">
        <v>2</v>
      </c>
      <c r="E90" s="9">
        <v>2</v>
      </c>
      <c r="F90" s="9">
        <v>88.533100000000005</v>
      </c>
      <c r="G90" s="9">
        <v>88.649900000000002</v>
      </c>
      <c r="H90" s="3"/>
      <c r="I90" s="56">
        <f t="shared" si="1"/>
        <v>5.8399999999998897</v>
      </c>
      <c r="J90" s="56" t="s">
        <v>10</v>
      </c>
      <c r="K90" s="56" t="s">
        <v>10</v>
      </c>
      <c r="L90" s="56" t="s">
        <v>10</v>
      </c>
      <c r="M90" s="3" t="s">
        <v>14</v>
      </c>
      <c r="N90" s="3" t="s">
        <v>15</v>
      </c>
      <c r="O90" s="3" t="s">
        <v>10</v>
      </c>
    </row>
    <row r="91" spans="1:15" x14ac:dyDescent="0.3">
      <c r="A91" s="42">
        <v>43194</v>
      </c>
      <c r="B91" s="85" t="s">
        <v>329</v>
      </c>
      <c r="C91" s="2" t="s">
        <v>336</v>
      </c>
      <c r="D91" s="3">
        <v>3</v>
      </c>
      <c r="E91" s="9">
        <v>2.0002</v>
      </c>
      <c r="F91" s="9">
        <v>88.491399999999999</v>
      </c>
      <c r="G91" s="9">
        <v>88.590800000000002</v>
      </c>
      <c r="H91" s="3"/>
      <c r="I91" s="56">
        <f t="shared" si="1"/>
        <v>4.969503049695172</v>
      </c>
      <c r="J91" s="56" t="s">
        <v>10</v>
      </c>
      <c r="K91" s="56" t="s">
        <v>10</v>
      </c>
      <c r="L91" s="56" t="s">
        <v>10</v>
      </c>
      <c r="M91" s="3" t="s">
        <v>14</v>
      </c>
      <c r="N91" s="3" t="s">
        <v>15</v>
      </c>
      <c r="O91" s="3" t="s">
        <v>10</v>
      </c>
    </row>
    <row r="92" spans="1:15" x14ac:dyDescent="0.3">
      <c r="A92" s="42">
        <v>43194</v>
      </c>
      <c r="B92" s="85" t="s">
        <v>330</v>
      </c>
      <c r="C92" s="2" t="s">
        <v>337</v>
      </c>
      <c r="D92" s="3">
        <v>4</v>
      </c>
      <c r="E92" s="9">
        <v>2.0009000000000001</v>
      </c>
      <c r="F92" s="9">
        <v>89.871700000000004</v>
      </c>
      <c r="G92" s="9">
        <v>89.975499999999997</v>
      </c>
      <c r="H92" s="3"/>
      <c r="I92" s="56">
        <f t="shared" si="1"/>
        <v>5.1876655505019018</v>
      </c>
      <c r="J92" s="56" t="s">
        <v>10</v>
      </c>
      <c r="K92" s="56" t="s">
        <v>10</v>
      </c>
      <c r="L92" s="56" t="s">
        <v>10</v>
      </c>
      <c r="M92" s="3" t="s">
        <v>14</v>
      </c>
      <c r="N92" s="3" t="s">
        <v>15</v>
      </c>
      <c r="O92" s="3" t="s">
        <v>10</v>
      </c>
    </row>
    <row r="93" spans="1:15" x14ac:dyDescent="0.3">
      <c r="A93" s="42">
        <v>43194</v>
      </c>
      <c r="B93" s="85" t="s">
        <v>331</v>
      </c>
      <c r="C93" s="2" t="s">
        <v>338</v>
      </c>
      <c r="D93" s="3">
        <v>5</v>
      </c>
      <c r="E93" s="9">
        <v>2.0001000000000002</v>
      </c>
      <c r="F93" s="9">
        <v>86.564899999999994</v>
      </c>
      <c r="G93" s="9">
        <v>86.670100000000005</v>
      </c>
      <c r="H93" s="3"/>
      <c r="I93" s="56">
        <f t="shared" si="1"/>
        <v>5.2597370131498726</v>
      </c>
      <c r="J93" s="56" t="s">
        <v>10</v>
      </c>
      <c r="K93" s="56" t="s">
        <v>10</v>
      </c>
      <c r="L93" s="56" t="s">
        <v>10</v>
      </c>
      <c r="M93" s="3" t="s">
        <v>14</v>
      </c>
      <c r="N93" s="3" t="s">
        <v>15</v>
      </c>
      <c r="O93" s="3" t="s">
        <v>10</v>
      </c>
    </row>
    <row r="94" spans="1:15" x14ac:dyDescent="0.3">
      <c r="A94" s="42">
        <v>43194</v>
      </c>
      <c r="B94" s="85" t="s">
        <v>332</v>
      </c>
      <c r="C94" s="2" t="s">
        <v>334</v>
      </c>
      <c r="D94" s="3">
        <v>6</v>
      </c>
      <c r="E94" s="9">
        <v>2.0007000000000001</v>
      </c>
      <c r="F94" s="9">
        <v>87.896199999999993</v>
      </c>
      <c r="G94" s="9">
        <v>87.9221</v>
      </c>
      <c r="H94" s="3"/>
      <c r="I94" s="56">
        <f t="shared" si="1"/>
        <v>1.2945469085823529</v>
      </c>
      <c r="J94" s="56" t="s">
        <v>10</v>
      </c>
      <c r="K94" s="56" t="s">
        <v>10</v>
      </c>
      <c r="L94" s="56" t="s">
        <v>10</v>
      </c>
      <c r="M94" s="3" t="s">
        <v>14</v>
      </c>
      <c r="N94" s="3" t="s">
        <v>15</v>
      </c>
      <c r="O94" s="3" t="s">
        <v>10</v>
      </c>
    </row>
    <row r="95" spans="1:15" x14ac:dyDescent="0.3">
      <c r="A95" s="42">
        <v>43196</v>
      </c>
      <c r="B95" s="85" t="s">
        <v>339</v>
      </c>
      <c r="C95" s="2" t="s">
        <v>340</v>
      </c>
      <c r="D95" s="3">
        <v>2</v>
      </c>
      <c r="E95" s="9">
        <v>2.0001000000000002</v>
      </c>
      <c r="F95" s="9">
        <v>88.492900000000006</v>
      </c>
      <c r="G95" s="9">
        <v>88.558899999999994</v>
      </c>
      <c r="H95" s="3"/>
      <c r="I95" s="56">
        <f t="shared" si="1"/>
        <v>3.2998350082490018</v>
      </c>
      <c r="J95" s="56" t="s">
        <v>10</v>
      </c>
      <c r="K95" s="56" t="s">
        <v>10</v>
      </c>
      <c r="L95" s="56" t="s">
        <v>10</v>
      </c>
      <c r="M95" s="3" t="s">
        <v>14</v>
      </c>
      <c r="N95" s="3" t="s">
        <v>15</v>
      </c>
      <c r="O95" s="3" t="s">
        <v>10</v>
      </c>
    </row>
    <row r="96" spans="1:15" x14ac:dyDescent="0.3">
      <c r="A96" s="42">
        <v>43196</v>
      </c>
      <c r="B96" s="85" t="s">
        <v>328</v>
      </c>
      <c r="C96" s="2" t="s">
        <v>335</v>
      </c>
      <c r="D96" s="3">
        <v>3</v>
      </c>
      <c r="E96" s="9">
        <v>2.0009000000000001</v>
      </c>
      <c r="F96" s="9">
        <v>87.899299999999997</v>
      </c>
      <c r="G96" s="9">
        <v>88.011300000000006</v>
      </c>
      <c r="H96" s="3"/>
      <c r="I96" s="56">
        <f t="shared" si="1"/>
        <v>5.597481133490378</v>
      </c>
      <c r="J96" s="56" t="s">
        <v>10</v>
      </c>
      <c r="K96" s="56" t="s">
        <v>10</v>
      </c>
      <c r="L96" s="56" t="s">
        <v>10</v>
      </c>
      <c r="M96" s="3" t="s">
        <v>14</v>
      </c>
      <c r="N96" s="3" t="s">
        <v>15</v>
      </c>
      <c r="O96" s="3" t="s">
        <v>10</v>
      </c>
    </row>
    <row r="97" spans="1:15" x14ac:dyDescent="0.3">
      <c r="A97" s="42">
        <v>43196</v>
      </c>
      <c r="B97" s="85" t="s">
        <v>329</v>
      </c>
      <c r="C97" s="2" t="s">
        <v>336</v>
      </c>
      <c r="D97" s="3">
        <v>4</v>
      </c>
      <c r="E97" s="9">
        <v>2.0009000000000001</v>
      </c>
      <c r="F97" s="9">
        <v>86.522999999999996</v>
      </c>
      <c r="G97" s="9">
        <v>86.623999999999995</v>
      </c>
      <c r="H97" s="3"/>
      <c r="I97" s="56">
        <f t="shared" si="1"/>
        <v>5.0477285221649799</v>
      </c>
      <c r="J97" s="56" t="s">
        <v>10</v>
      </c>
      <c r="K97" s="56" t="s">
        <v>10</v>
      </c>
      <c r="L97" s="56" t="s">
        <v>10</v>
      </c>
      <c r="M97" s="3" t="s">
        <v>14</v>
      </c>
      <c r="N97" s="3" t="s">
        <v>15</v>
      </c>
      <c r="O97" s="3" t="s">
        <v>10</v>
      </c>
    </row>
    <row r="98" spans="1:15" x14ac:dyDescent="0.3">
      <c r="A98" s="42">
        <v>43192</v>
      </c>
      <c r="B98" s="85" t="s">
        <v>342</v>
      </c>
      <c r="C98" s="2" t="s">
        <v>341</v>
      </c>
      <c r="D98" s="3">
        <v>1</v>
      </c>
      <c r="E98" s="9">
        <v>5</v>
      </c>
      <c r="F98" s="9">
        <v>88.493899999999996</v>
      </c>
      <c r="G98" s="9">
        <v>88.517700000000005</v>
      </c>
      <c r="H98" s="3"/>
      <c r="I98" s="56">
        <f t="shared" si="1"/>
        <v>0.47600000000016962</v>
      </c>
      <c r="J98" s="56" t="s">
        <v>10</v>
      </c>
      <c r="K98" s="56" t="s">
        <v>10</v>
      </c>
      <c r="L98" s="56" t="s">
        <v>10</v>
      </c>
      <c r="M98" s="3" t="s">
        <v>14</v>
      </c>
      <c r="N98" s="3" t="s">
        <v>15</v>
      </c>
      <c r="O98" s="3" t="s">
        <v>10</v>
      </c>
    </row>
    <row r="99" spans="1:15" x14ac:dyDescent="0.3">
      <c r="A99" s="42">
        <v>43192</v>
      </c>
      <c r="B99" s="85" t="s">
        <v>343</v>
      </c>
      <c r="C99" s="2" t="s">
        <v>344</v>
      </c>
      <c r="D99" s="3">
        <v>2</v>
      </c>
      <c r="E99" s="9">
        <v>5.0003000000000002</v>
      </c>
      <c r="F99" s="9">
        <v>89.873900000000006</v>
      </c>
      <c r="G99" s="9">
        <v>90.4238</v>
      </c>
      <c r="H99" s="3"/>
      <c r="I99" s="56">
        <f t="shared" si="1"/>
        <v>10.997340159590301</v>
      </c>
      <c r="J99" s="56" t="s">
        <v>10</v>
      </c>
      <c r="K99" s="56" t="s">
        <v>10</v>
      </c>
      <c r="L99" s="56" t="s">
        <v>10</v>
      </c>
      <c r="M99" s="3" t="s">
        <v>14</v>
      </c>
      <c r="N99" s="3" t="s">
        <v>15</v>
      </c>
      <c r="O99" s="3" t="s">
        <v>10</v>
      </c>
    </row>
    <row r="100" spans="1:15" x14ac:dyDescent="0.3">
      <c r="A100" s="42">
        <v>43192</v>
      </c>
      <c r="B100" s="85" t="s">
        <v>345</v>
      </c>
      <c r="C100" s="2" t="s">
        <v>346</v>
      </c>
      <c r="D100" s="3">
        <v>3</v>
      </c>
      <c r="E100" s="9">
        <v>5.0004999999999997</v>
      </c>
      <c r="F100" s="9">
        <v>88.537199999999999</v>
      </c>
      <c r="G100" s="9">
        <v>88.553600000000003</v>
      </c>
      <c r="H100" s="3"/>
      <c r="I100" s="56">
        <f t="shared" si="1"/>
        <v>0.32796720327976026</v>
      </c>
      <c r="J100" s="56" t="s">
        <v>10</v>
      </c>
      <c r="K100" s="56" t="s">
        <v>10</v>
      </c>
      <c r="L100" s="56" t="s">
        <v>10</v>
      </c>
      <c r="M100" s="3" t="s">
        <v>14</v>
      </c>
      <c r="N100" s="3" t="s">
        <v>15</v>
      </c>
      <c r="O100" s="3" t="s">
        <v>10</v>
      </c>
    </row>
    <row r="101" spans="1:15" x14ac:dyDescent="0.3">
      <c r="A101" s="42">
        <v>43192</v>
      </c>
      <c r="B101" s="85" t="s">
        <v>347</v>
      </c>
      <c r="C101" s="2" t="s">
        <v>348</v>
      </c>
      <c r="D101" s="3">
        <v>4</v>
      </c>
      <c r="E101" s="9">
        <v>5.0008999999999997</v>
      </c>
      <c r="F101" s="9">
        <v>81.912300000000002</v>
      </c>
      <c r="G101" s="9">
        <v>81.934399999999997</v>
      </c>
      <c r="H101" s="3"/>
      <c r="I101" s="56">
        <f t="shared" si="1"/>
        <v>0.44192045431811638</v>
      </c>
      <c r="J101" s="56" t="s">
        <v>10</v>
      </c>
      <c r="K101" s="56" t="s">
        <v>10</v>
      </c>
      <c r="L101" s="56" t="s">
        <v>10</v>
      </c>
      <c r="M101" s="3" t="s">
        <v>14</v>
      </c>
      <c r="N101" s="3" t="s">
        <v>15</v>
      </c>
      <c r="O101" s="3" t="s">
        <v>10</v>
      </c>
    </row>
    <row r="102" spans="1:15" x14ac:dyDescent="0.3">
      <c r="A102" s="42">
        <v>43199</v>
      </c>
      <c r="B102" s="85" t="s">
        <v>343</v>
      </c>
      <c r="C102" s="2" t="s">
        <v>344</v>
      </c>
      <c r="D102" s="3">
        <v>1</v>
      </c>
      <c r="E102" s="9">
        <v>2.0003000000000002</v>
      </c>
      <c r="F102" s="9">
        <v>86.569199999999995</v>
      </c>
      <c r="G102" s="9">
        <v>86.573400000000007</v>
      </c>
      <c r="H102" s="3"/>
      <c r="I102" s="56">
        <f t="shared" si="1"/>
        <v>0.20996850472486764</v>
      </c>
      <c r="J102" s="56" t="s">
        <v>10</v>
      </c>
      <c r="K102" s="56" t="s">
        <v>10</v>
      </c>
      <c r="L102" s="56" t="s">
        <v>10</v>
      </c>
      <c r="M102" s="3" t="s">
        <v>14</v>
      </c>
      <c r="N102" s="3" t="s">
        <v>15</v>
      </c>
      <c r="O102" s="3" t="s">
        <v>10</v>
      </c>
    </row>
    <row r="103" spans="1:15" x14ac:dyDescent="0.3">
      <c r="A103" s="42">
        <v>43194</v>
      </c>
      <c r="B103" s="85" t="s">
        <v>327</v>
      </c>
      <c r="C103" s="2" t="s">
        <v>333</v>
      </c>
      <c r="D103" s="3">
        <v>1</v>
      </c>
      <c r="E103" s="9">
        <v>2.0003000000000002</v>
      </c>
      <c r="F103" s="9">
        <v>81.908199999999994</v>
      </c>
      <c r="G103" s="9">
        <v>82.317400000000006</v>
      </c>
      <c r="H103" s="56" t="e">
        <f>+#REF!</f>
        <v>#REF!</v>
      </c>
      <c r="I103" s="56" t="e">
        <f t="shared" si="1"/>
        <v>#REF!</v>
      </c>
      <c r="J103" s="56" t="s">
        <v>10</v>
      </c>
      <c r="K103" s="56" t="s">
        <v>10</v>
      </c>
      <c r="L103" s="56" t="s">
        <v>10</v>
      </c>
      <c r="M103" s="3" t="s">
        <v>14</v>
      </c>
      <c r="N103" s="3" t="s">
        <v>15</v>
      </c>
      <c r="O103" s="3" t="s">
        <v>10</v>
      </c>
    </row>
    <row r="104" spans="1:15" x14ac:dyDescent="0.3">
      <c r="A104" s="42">
        <v>43201</v>
      </c>
      <c r="B104" s="85" t="s">
        <v>349</v>
      </c>
      <c r="C104" s="2" t="s">
        <v>350</v>
      </c>
      <c r="D104" s="3">
        <v>4</v>
      </c>
      <c r="E104" s="9">
        <v>2.0001000000000002</v>
      </c>
      <c r="F104" s="9">
        <v>88.158299999999997</v>
      </c>
      <c r="G104" s="9">
        <v>88.216099999999997</v>
      </c>
      <c r="H104" s="3"/>
      <c r="I104" s="56">
        <f t="shared" si="1"/>
        <v>2.8898555072246532</v>
      </c>
      <c r="J104" s="56" t="s">
        <v>10</v>
      </c>
      <c r="K104" s="56" t="s">
        <v>10</v>
      </c>
      <c r="L104" s="56" t="s">
        <v>10</v>
      </c>
      <c r="M104" s="3" t="s">
        <v>14</v>
      </c>
      <c r="N104" s="3" t="s">
        <v>15</v>
      </c>
      <c r="O104" s="3" t="s">
        <v>10</v>
      </c>
    </row>
    <row r="105" spans="1:15" x14ac:dyDescent="0.3">
      <c r="A105" s="42">
        <v>43201</v>
      </c>
      <c r="B105" s="85" t="s">
        <v>351</v>
      </c>
      <c r="C105" s="2" t="s">
        <v>353</v>
      </c>
      <c r="D105" s="3">
        <v>5</v>
      </c>
      <c r="E105" s="9">
        <v>2.0003000000000002</v>
      </c>
      <c r="F105" s="9">
        <v>93.953500000000005</v>
      </c>
      <c r="G105" s="9">
        <v>94.006100000000004</v>
      </c>
      <c r="H105" s="3"/>
      <c r="I105" s="56">
        <f t="shared" si="1"/>
        <v>2.629605559166035</v>
      </c>
      <c r="J105" s="56" t="s">
        <v>10</v>
      </c>
      <c r="K105" s="56" t="s">
        <v>10</v>
      </c>
      <c r="L105" s="56" t="s">
        <v>10</v>
      </c>
      <c r="M105" s="3" t="s">
        <v>14</v>
      </c>
      <c r="N105" s="3" t="s">
        <v>15</v>
      </c>
      <c r="O105" s="3" t="s">
        <v>10</v>
      </c>
    </row>
    <row r="106" spans="1:15" x14ac:dyDescent="0.3">
      <c r="A106" s="42">
        <v>43201</v>
      </c>
      <c r="B106" s="85" t="s">
        <v>352</v>
      </c>
      <c r="C106" s="2" t="s">
        <v>354</v>
      </c>
      <c r="D106" s="3">
        <v>6</v>
      </c>
      <c r="E106" s="9">
        <v>2.0009000000000001</v>
      </c>
      <c r="F106" s="9">
        <v>86.5702</v>
      </c>
      <c r="G106" s="9">
        <v>86.620999999999995</v>
      </c>
      <c r="H106" s="3"/>
      <c r="I106" s="56">
        <f t="shared" si="1"/>
        <v>2.5388575141184111</v>
      </c>
      <c r="J106" s="56" t="s">
        <v>10</v>
      </c>
      <c r="K106" s="56" t="s">
        <v>10</v>
      </c>
      <c r="L106" s="56" t="s">
        <v>10</v>
      </c>
      <c r="M106" s="3" t="s">
        <v>14</v>
      </c>
      <c r="N106" s="3" t="s">
        <v>15</v>
      </c>
      <c r="O106" s="3" t="s">
        <v>10</v>
      </c>
    </row>
    <row r="107" spans="1:15" x14ac:dyDescent="0.3">
      <c r="A107" s="42">
        <v>43196</v>
      </c>
      <c r="B107" s="85" t="s">
        <v>356</v>
      </c>
      <c r="C107" s="2" t="s">
        <v>355</v>
      </c>
      <c r="D107" s="3">
        <v>1</v>
      </c>
      <c r="E107" s="9">
        <v>5.0004</v>
      </c>
      <c r="F107" s="9">
        <v>88.158299999999997</v>
      </c>
      <c r="G107" s="9">
        <v>88.407300000000006</v>
      </c>
      <c r="H107" s="3"/>
      <c r="I107" s="56">
        <f t="shared" si="1"/>
        <v>4.979601631869639</v>
      </c>
      <c r="J107" s="56" t="s">
        <v>10</v>
      </c>
      <c r="K107" s="56" t="s">
        <v>10</v>
      </c>
      <c r="L107" s="56" t="s">
        <v>10</v>
      </c>
      <c r="M107" s="3" t="s">
        <v>14</v>
      </c>
      <c r="N107" s="3" t="s">
        <v>15</v>
      </c>
      <c r="O107" s="3" t="s">
        <v>10</v>
      </c>
    </row>
    <row r="108" spans="1:15" x14ac:dyDescent="0.3">
      <c r="A108" s="42">
        <v>43196</v>
      </c>
      <c r="B108" s="85" t="s">
        <v>358</v>
      </c>
      <c r="C108" s="2" t="s">
        <v>357</v>
      </c>
      <c r="D108" s="3">
        <v>2</v>
      </c>
      <c r="E108" s="9">
        <v>5.0008999999999997</v>
      </c>
      <c r="F108" s="9">
        <v>88.156499999999994</v>
      </c>
      <c r="G108" s="9">
        <v>88.168899999999994</v>
      </c>
      <c r="H108" s="56" t="e">
        <f>+#REF!</f>
        <v>#REF!</v>
      </c>
      <c r="I108" s="56" t="e">
        <f t="shared" si="1"/>
        <v>#REF!</v>
      </c>
      <c r="J108" s="56" t="s">
        <v>10</v>
      </c>
      <c r="K108" s="56" t="s">
        <v>10</v>
      </c>
      <c r="L108" s="56" t="s">
        <v>10</v>
      </c>
      <c r="M108" s="3" t="s">
        <v>14</v>
      </c>
      <c r="N108" s="3" t="s">
        <v>15</v>
      </c>
      <c r="O108" s="3" t="s">
        <v>10</v>
      </c>
    </row>
    <row r="109" spans="1:15" x14ac:dyDescent="0.3">
      <c r="A109" s="42">
        <v>43200</v>
      </c>
      <c r="B109" s="85" t="s">
        <v>362</v>
      </c>
      <c r="C109" s="2" t="s">
        <v>361</v>
      </c>
      <c r="D109" s="3">
        <v>1</v>
      </c>
      <c r="E109" s="9">
        <v>5</v>
      </c>
      <c r="F109" s="9">
        <v>89.492000000000004</v>
      </c>
      <c r="G109" s="9">
        <v>89.7727</v>
      </c>
      <c r="H109" s="56" t="e">
        <f>+#REF!</f>
        <v>#REF!</v>
      </c>
      <c r="I109" s="56" t="e">
        <f t="shared" si="1"/>
        <v>#REF!</v>
      </c>
      <c r="J109" s="56" t="s">
        <v>10</v>
      </c>
      <c r="K109" s="56" t="s">
        <v>10</v>
      </c>
      <c r="L109" s="56" t="s">
        <v>10</v>
      </c>
      <c r="M109" s="3" t="s">
        <v>14</v>
      </c>
      <c r="N109" s="3" t="s">
        <v>15</v>
      </c>
      <c r="O109" s="3" t="s">
        <v>10</v>
      </c>
    </row>
    <row r="110" spans="1:15" x14ac:dyDescent="0.3">
      <c r="A110" s="42">
        <v>43200</v>
      </c>
      <c r="B110" s="85" t="s">
        <v>363</v>
      </c>
      <c r="C110" s="2" t="s">
        <v>365</v>
      </c>
      <c r="D110" s="3">
        <v>2</v>
      </c>
      <c r="E110" s="9">
        <v>5.0007999999999999</v>
      </c>
      <c r="F110" s="9">
        <v>86.595399999999998</v>
      </c>
      <c r="G110" s="9">
        <v>87.119699999999995</v>
      </c>
      <c r="H110" s="56" t="e">
        <f>+#REF!</f>
        <v>#REF!</v>
      </c>
      <c r="I110" s="56" t="e">
        <f t="shared" si="1"/>
        <v>#REF!</v>
      </c>
      <c r="J110" s="56" t="s">
        <v>10</v>
      </c>
      <c r="K110" s="56" t="s">
        <v>10</v>
      </c>
      <c r="L110" s="56" t="s">
        <v>10</v>
      </c>
      <c r="M110" s="3" t="s">
        <v>14</v>
      </c>
      <c r="N110" s="3" t="s">
        <v>15</v>
      </c>
      <c r="O110" s="3" t="s">
        <v>10</v>
      </c>
    </row>
    <row r="111" spans="1:15" x14ac:dyDescent="0.3">
      <c r="A111" s="42">
        <v>43199</v>
      </c>
      <c r="B111" s="85" t="s">
        <v>367</v>
      </c>
      <c r="C111" s="2" t="s">
        <v>368</v>
      </c>
      <c r="D111" s="3">
        <v>3</v>
      </c>
      <c r="E111" s="9">
        <v>5.0002000000000004</v>
      </c>
      <c r="F111" s="9">
        <v>87.898300000000006</v>
      </c>
      <c r="G111" s="9">
        <v>88.161000000000001</v>
      </c>
      <c r="H111" s="3"/>
      <c r="I111" s="56">
        <f t="shared" si="1"/>
        <v>5.2537898484059689</v>
      </c>
      <c r="J111" s="56" t="s">
        <v>10</v>
      </c>
      <c r="K111" s="56" t="s">
        <v>10</v>
      </c>
      <c r="L111" s="56" t="s">
        <v>10</v>
      </c>
      <c r="M111" s="3" t="s">
        <v>14</v>
      </c>
      <c r="N111" s="3" t="s">
        <v>15</v>
      </c>
      <c r="O111" s="3" t="s">
        <v>10</v>
      </c>
    </row>
    <row r="112" spans="1:15" x14ac:dyDescent="0.3">
      <c r="A112" s="42">
        <v>43200</v>
      </c>
      <c r="B112" s="85" t="s">
        <v>364</v>
      </c>
      <c r="C112" s="2" t="s">
        <v>366</v>
      </c>
      <c r="D112" s="3">
        <v>3</v>
      </c>
      <c r="E112" s="9">
        <v>5.0008999999999997</v>
      </c>
      <c r="F112" s="9">
        <v>88.493200000000002</v>
      </c>
      <c r="G112" s="9">
        <v>89.170299999999997</v>
      </c>
      <c r="H112" s="56" t="e">
        <f>+#REF!</f>
        <v>#REF!</v>
      </c>
      <c r="I112" s="56" t="e">
        <f t="shared" si="1"/>
        <v>#REF!</v>
      </c>
      <c r="J112" s="56" t="s">
        <v>10</v>
      </c>
      <c r="K112" s="56" t="s">
        <v>10</v>
      </c>
      <c r="L112" s="56" t="s">
        <v>10</v>
      </c>
      <c r="M112" s="3" t="s">
        <v>14</v>
      </c>
      <c r="N112" s="3" t="s">
        <v>15</v>
      </c>
      <c r="O112" s="3" t="s">
        <v>10</v>
      </c>
    </row>
    <row r="113" spans="1:17" x14ac:dyDescent="0.3">
      <c r="A113" s="42">
        <v>43203</v>
      </c>
      <c r="B113" s="85" t="s">
        <v>370</v>
      </c>
      <c r="C113" s="2" t="s">
        <v>369</v>
      </c>
      <c r="D113" s="3" t="s">
        <v>127</v>
      </c>
      <c r="E113" s="9">
        <v>1.0008999999999999</v>
      </c>
      <c r="F113" s="9">
        <v>84.419899999999998</v>
      </c>
      <c r="G113" s="9">
        <v>84.698700000000002</v>
      </c>
      <c r="H113" s="3"/>
      <c r="I113" s="56">
        <f t="shared" si="1"/>
        <v>27.85493056249415</v>
      </c>
      <c r="J113" s="56" t="s">
        <v>10</v>
      </c>
      <c r="K113" s="56" t="s">
        <v>10</v>
      </c>
      <c r="L113" s="56" t="s">
        <v>10</v>
      </c>
      <c r="M113" s="3" t="s">
        <v>14</v>
      </c>
      <c r="N113" s="3" t="s">
        <v>15</v>
      </c>
      <c r="O113" s="3" t="s">
        <v>279</v>
      </c>
    </row>
    <row r="114" spans="1:17" x14ac:dyDescent="0.3">
      <c r="A114" s="42">
        <v>43208</v>
      </c>
      <c r="B114" s="85" t="s">
        <v>373</v>
      </c>
      <c r="C114" s="2" t="s">
        <v>372</v>
      </c>
      <c r="D114" s="3">
        <v>3</v>
      </c>
      <c r="E114" s="9">
        <v>5.0008999999999997</v>
      </c>
      <c r="F114" s="9">
        <v>84.419499999999999</v>
      </c>
      <c r="G114" s="9">
        <v>84.557900000000004</v>
      </c>
      <c r="H114" s="3"/>
      <c r="I114" s="56">
        <f t="shared" si="1"/>
        <v>2.7675018496671462</v>
      </c>
      <c r="J114" s="56" t="s">
        <v>10</v>
      </c>
      <c r="K114" s="56" t="s">
        <v>10</v>
      </c>
      <c r="L114" s="56" t="s">
        <v>10</v>
      </c>
      <c r="M114" s="3" t="s">
        <v>14</v>
      </c>
      <c r="N114" s="3" t="s">
        <v>15</v>
      </c>
      <c r="O114" s="3" t="s">
        <v>10</v>
      </c>
    </row>
    <row r="115" spans="1:17" x14ac:dyDescent="0.3">
      <c r="A115" s="42">
        <v>43202</v>
      </c>
      <c r="B115" s="85" t="s">
        <v>374</v>
      </c>
      <c r="C115" s="2" t="s">
        <v>375</v>
      </c>
      <c r="D115" s="3">
        <v>6</v>
      </c>
      <c r="E115" s="9">
        <v>5.0000999999999998</v>
      </c>
      <c r="F115" s="9">
        <v>88.494600000000005</v>
      </c>
      <c r="G115" s="9">
        <v>88.507999999999996</v>
      </c>
      <c r="H115" s="56" t="e">
        <f>+#REF!</f>
        <v>#REF!</v>
      </c>
      <c r="I115" s="56" t="e">
        <f t="shared" si="1"/>
        <v>#REF!</v>
      </c>
      <c r="J115" s="56" t="s">
        <v>10</v>
      </c>
      <c r="K115" s="56" t="s">
        <v>10</v>
      </c>
      <c r="L115" s="56" t="s">
        <v>10</v>
      </c>
      <c r="M115" s="3" t="s">
        <v>14</v>
      </c>
      <c r="N115" s="3" t="s">
        <v>15</v>
      </c>
      <c r="O115" s="3" t="s">
        <v>10</v>
      </c>
    </row>
    <row r="116" spans="1:17" x14ac:dyDescent="0.3">
      <c r="A116" s="42">
        <v>43207</v>
      </c>
      <c r="B116" s="85" t="s">
        <v>376</v>
      </c>
      <c r="C116" s="2" t="s">
        <v>377</v>
      </c>
      <c r="D116" s="3">
        <v>5</v>
      </c>
      <c r="E116" s="9">
        <v>2.0009000000000001</v>
      </c>
      <c r="F116" s="9">
        <v>93.951599999999999</v>
      </c>
      <c r="G116" s="9">
        <v>94.711799999999997</v>
      </c>
      <c r="H116" s="56" t="e">
        <f>+#REF!</f>
        <v>#REF!</v>
      </c>
      <c r="I116" s="56" t="e">
        <f t="shared" si="1"/>
        <v>#REF!</v>
      </c>
      <c r="J116" s="56" t="s">
        <v>10</v>
      </c>
      <c r="K116" s="56" t="s">
        <v>10</v>
      </c>
      <c r="L116" s="56" t="s">
        <v>10</v>
      </c>
      <c r="M116" s="3" t="s">
        <v>14</v>
      </c>
      <c r="N116" s="3" t="s">
        <v>15</v>
      </c>
      <c r="O116" s="3" t="s">
        <v>10</v>
      </c>
    </row>
    <row r="117" spans="1:17" x14ac:dyDescent="0.3">
      <c r="A117" s="42">
        <v>43203</v>
      </c>
      <c r="B117" s="85" t="s">
        <v>379</v>
      </c>
      <c r="C117" s="2" t="s">
        <v>378</v>
      </c>
      <c r="D117" s="3">
        <v>2</v>
      </c>
      <c r="E117" s="9">
        <v>5.0008999999999997</v>
      </c>
      <c r="F117" s="9">
        <v>89.494200000000006</v>
      </c>
      <c r="G117" s="9">
        <v>90.110200000000006</v>
      </c>
      <c r="H117" s="56" t="e">
        <f>+#REF!</f>
        <v>#REF!</v>
      </c>
      <c r="I117" s="56" t="e">
        <f t="shared" si="1"/>
        <v>#REF!</v>
      </c>
      <c r="J117" s="56" t="s">
        <v>10</v>
      </c>
      <c r="K117" s="56" t="s">
        <v>10</v>
      </c>
      <c r="L117" s="56" t="s">
        <v>10</v>
      </c>
      <c r="M117" s="3" t="s">
        <v>14</v>
      </c>
      <c r="N117" s="3" t="s">
        <v>15</v>
      </c>
      <c r="O117" s="3" t="s">
        <v>10</v>
      </c>
    </row>
    <row r="118" spans="1:17" x14ac:dyDescent="0.3">
      <c r="A118" s="42">
        <v>43201</v>
      </c>
      <c r="B118" s="85" t="s">
        <v>381</v>
      </c>
      <c r="C118" s="2" t="s">
        <v>380</v>
      </c>
      <c r="D118" s="3">
        <v>1</v>
      </c>
      <c r="E118" s="9">
        <v>5.0000999999999998</v>
      </c>
      <c r="F118" s="9">
        <v>84.424199999999999</v>
      </c>
      <c r="G118" s="9">
        <v>86.004099999999994</v>
      </c>
      <c r="H118" s="3"/>
      <c r="I118" s="56">
        <f t="shared" si="1"/>
        <v>31.597368052638846</v>
      </c>
      <c r="J118" s="56" t="s">
        <v>10</v>
      </c>
      <c r="K118" s="56" t="s">
        <v>10</v>
      </c>
      <c r="L118" s="56" t="s">
        <v>10</v>
      </c>
      <c r="M118" s="3" t="s">
        <v>14</v>
      </c>
      <c r="N118" s="3" t="s">
        <v>15</v>
      </c>
      <c r="O118" s="3" t="s">
        <v>10</v>
      </c>
    </row>
    <row r="119" spans="1:17" x14ac:dyDescent="0.3">
      <c r="A119" s="42">
        <v>43208</v>
      </c>
      <c r="B119" s="85" t="s">
        <v>385</v>
      </c>
      <c r="C119" s="2" t="s">
        <v>384</v>
      </c>
      <c r="D119" s="3">
        <v>2</v>
      </c>
      <c r="E119" s="9">
        <v>2.0009000000000001</v>
      </c>
      <c r="F119" s="9">
        <v>87.897999999999996</v>
      </c>
      <c r="G119" s="9">
        <v>87.953800000000001</v>
      </c>
      <c r="H119" s="3"/>
      <c r="I119" s="56">
        <f t="shared" si="1"/>
        <v>2.7887450647211232</v>
      </c>
      <c r="J119" s="56" t="s">
        <v>10</v>
      </c>
      <c r="K119" s="56" t="s">
        <v>10</v>
      </c>
      <c r="L119" s="56" t="s">
        <v>10</v>
      </c>
      <c r="M119" s="3" t="s">
        <v>14</v>
      </c>
      <c r="N119" s="3" t="s">
        <v>15</v>
      </c>
      <c r="O119" s="3" t="s">
        <v>10</v>
      </c>
    </row>
    <row r="120" spans="1:17" x14ac:dyDescent="0.3">
      <c r="A120" s="42">
        <v>43208</v>
      </c>
      <c r="B120" s="85" t="s">
        <v>386</v>
      </c>
      <c r="C120" s="2" t="s">
        <v>387</v>
      </c>
      <c r="D120" s="3">
        <v>1</v>
      </c>
      <c r="E120" s="9">
        <v>2.0005000000000002</v>
      </c>
      <c r="F120" s="9">
        <v>89.489900000000006</v>
      </c>
      <c r="G120" s="9">
        <v>89.500500000000002</v>
      </c>
      <c r="H120" s="3"/>
      <c r="I120" s="56">
        <f t="shared" si="1"/>
        <v>0.52986753311655144</v>
      </c>
      <c r="J120" s="56" t="s">
        <v>10</v>
      </c>
      <c r="K120" s="56" t="s">
        <v>10</v>
      </c>
      <c r="L120" s="56" t="s">
        <v>10</v>
      </c>
      <c r="M120" s="3" t="s">
        <v>14</v>
      </c>
      <c r="N120" s="3" t="s">
        <v>15</v>
      </c>
      <c r="O120" s="3" t="s">
        <v>10</v>
      </c>
    </row>
    <row r="121" spans="1:17" x14ac:dyDescent="0.3">
      <c r="A121" s="42">
        <v>43207</v>
      </c>
      <c r="B121" s="85" t="s">
        <v>390</v>
      </c>
      <c r="C121" s="2" t="s">
        <v>389</v>
      </c>
      <c r="D121" s="3">
        <v>4</v>
      </c>
      <c r="E121" s="9">
        <v>5</v>
      </c>
      <c r="F121" s="9">
        <v>89.873000000000005</v>
      </c>
      <c r="G121" s="9">
        <v>90.093999999999994</v>
      </c>
      <c r="H121" s="56" t="e">
        <f>+#REF!</f>
        <v>#REF!</v>
      </c>
      <c r="I121" s="56" t="e">
        <f t="shared" si="1"/>
        <v>#REF!</v>
      </c>
      <c r="J121" s="56" t="s">
        <v>10</v>
      </c>
      <c r="K121" s="56" t="s">
        <v>10</v>
      </c>
      <c r="L121" s="56" t="s">
        <v>10</v>
      </c>
      <c r="M121" s="3" t="s">
        <v>14</v>
      </c>
      <c r="N121" s="3" t="s">
        <v>15</v>
      </c>
      <c r="O121" s="3" t="s">
        <v>10</v>
      </c>
    </row>
    <row r="122" spans="1:17" x14ac:dyDescent="0.3">
      <c r="A122" s="42">
        <v>43206</v>
      </c>
      <c r="C122" s="3" t="s">
        <v>391</v>
      </c>
      <c r="D122" s="3" t="s">
        <v>127</v>
      </c>
      <c r="E122" s="9">
        <v>3.0009000000000001</v>
      </c>
      <c r="F122" s="9">
        <v>86.595100000000002</v>
      </c>
      <c r="G122" s="9">
        <v>86.644999999999996</v>
      </c>
      <c r="H122" s="56"/>
      <c r="I122" s="56">
        <f t="shared" si="1"/>
        <v>1.6628344829882316</v>
      </c>
      <c r="J122" s="56" t="s">
        <v>10</v>
      </c>
      <c r="K122" s="56" t="s">
        <v>10</v>
      </c>
      <c r="L122" s="56" t="s">
        <v>10</v>
      </c>
      <c r="M122" s="3" t="s">
        <v>14</v>
      </c>
      <c r="N122" s="3" t="s">
        <v>15</v>
      </c>
      <c r="O122" s="3" t="s">
        <v>279</v>
      </c>
    </row>
    <row r="123" spans="1:17" x14ac:dyDescent="0.3">
      <c r="A123" s="42">
        <v>43208</v>
      </c>
      <c r="B123" s="85" t="s">
        <v>392</v>
      </c>
      <c r="C123" s="2" t="s">
        <v>400</v>
      </c>
      <c r="D123" s="3">
        <v>3</v>
      </c>
      <c r="E123" s="9">
        <v>2.0009000000000001</v>
      </c>
      <c r="F123" s="9">
        <v>88.537499999999994</v>
      </c>
      <c r="G123" s="9">
        <v>89.347899999999996</v>
      </c>
      <c r="H123" s="3">
        <v>75.902337579235706</v>
      </c>
      <c r="I123" s="56">
        <f t="shared" si="1"/>
        <v>9.7599808215240227</v>
      </c>
      <c r="J123" s="56" t="s">
        <v>10</v>
      </c>
      <c r="K123" s="56" t="s">
        <v>10</v>
      </c>
      <c r="L123" s="56" t="s">
        <v>10</v>
      </c>
      <c r="M123" s="3" t="s">
        <v>14</v>
      </c>
      <c r="N123" s="3" t="s">
        <v>15</v>
      </c>
      <c r="O123" s="3" t="s">
        <v>410</v>
      </c>
      <c r="P123" s="39">
        <v>40.501774201609344</v>
      </c>
      <c r="Q123" s="39"/>
    </row>
    <row r="124" spans="1:17" x14ac:dyDescent="0.3">
      <c r="A124" s="42">
        <v>43208</v>
      </c>
      <c r="B124" s="85" t="s">
        <v>393</v>
      </c>
      <c r="C124" s="2" t="s">
        <v>401</v>
      </c>
      <c r="D124" s="3">
        <v>4</v>
      </c>
      <c r="E124" s="9">
        <v>2.0009000000000001</v>
      </c>
      <c r="F124" s="9">
        <v>81.911799999999999</v>
      </c>
      <c r="G124" s="9">
        <v>82.690899999999999</v>
      </c>
      <c r="H124" s="3">
        <v>78.335946169689464</v>
      </c>
      <c r="I124" s="56">
        <f t="shared" si="1"/>
        <v>8.435436223296982</v>
      </c>
      <c r="J124" s="56" t="s">
        <v>10</v>
      </c>
      <c r="K124" s="56" t="s">
        <v>10</v>
      </c>
      <c r="L124" s="56" t="s">
        <v>10</v>
      </c>
      <c r="M124" s="3" t="s">
        <v>14</v>
      </c>
      <c r="N124" s="3" t="s">
        <v>15</v>
      </c>
      <c r="O124" s="3" t="s">
        <v>410</v>
      </c>
      <c r="P124" s="39">
        <v>38.937478134839303</v>
      </c>
      <c r="Q124" s="39"/>
    </row>
    <row r="125" spans="1:17" x14ac:dyDescent="0.3">
      <c r="A125" s="42">
        <v>43208</v>
      </c>
      <c r="B125" s="85" t="s">
        <v>394</v>
      </c>
      <c r="C125" s="2" t="s">
        <v>402</v>
      </c>
      <c r="D125" s="3">
        <v>5</v>
      </c>
      <c r="E125" s="9">
        <v>2.0009000000000001</v>
      </c>
      <c r="F125" s="9">
        <v>86.568600000000004</v>
      </c>
      <c r="G125" s="9">
        <v>87.309600000000003</v>
      </c>
      <c r="H125" s="3">
        <v>76.810022588062793</v>
      </c>
      <c r="I125" s="56">
        <f t="shared" si="1"/>
        <v>8.5880220212131846</v>
      </c>
      <c r="J125" s="56" t="s">
        <v>10</v>
      </c>
      <c r="K125" s="56" t="s">
        <v>10</v>
      </c>
      <c r="L125" s="56" t="s">
        <v>10</v>
      </c>
      <c r="M125" s="3" t="s">
        <v>14</v>
      </c>
      <c r="N125" s="3" t="s">
        <v>15</v>
      </c>
      <c r="O125" s="3" t="s">
        <v>410</v>
      </c>
      <c r="P125" s="39">
        <v>37.033334999250314</v>
      </c>
      <c r="Q125" s="39"/>
    </row>
    <row r="126" spans="1:17" x14ac:dyDescent="0.3">
      <c r="A126" s="42">
        <v>43208</v>
      </c>
      <c r="B126" s="85" t="s">
        <v>395</v>
      </c>
      <c r="C126" s="2" t="s">
        <v>403</v>
      </c>
      <c r="D126" s="3">
        <v>6</v>
      </c>
      <c r="E126" s="9">
        <v>2.0009000000000001</v>
      </c>
      <c r="F126" s="9">
        <v>86.593699999999998</v>
      </c>
      <c r="G126" s="9">
        <v>87.304299999999998</v>
      </c>
      <c r="H126" s="3">
        <v>79.010309263838209</v>
      </c>
      <c r="I126" s="56">
        <f t="shared" si="1"/>
        <v>7.4542826913471707</v>
      </c>
      <c r="J126" s="56" t="s">
        <v>10</v>
      </c>
      <c r="K126" s="56" t="s">
        <v>10</v>
      </c>
      <c r="L126" s="56" t="s">
        <v>10</v>
      </c>
      <c r="M126" s="3" t="s">
        <v>14</v>
      </c>
      <c r="N126" s="3" t="s">
        <v>15</v>
      </c>
      <c r="O126" s="3" t="s">
        <v>410</v>
      </c>
      <c r="P126" s="39">
        <v>35.514018691588753</v>
      </c>
      <c r="Q126" s="39"/>
    </row>
    <row r="127" spans="1:17" x14ac:dyDescent="0.3">
      <c r="A127" s="42">
        <v>43209</v>
      </c>
      <c r="B127" s="85" t="s">
        <v>396</v>
      </c>
      <c r="C127" s="2" t="s">
        <v>404</v>
      </c>
      <c r="D127" s="3">
        <v>1</v>
      </c>
      <c r="E127" s="9">
        <v>2.0009000000000001</v>
      </c>
      <c r="F127" s="9">
        <v>88.1584</v>
      </c>
      <c r="G127" s="9">
        <v>88.8399</v>
      </c>
      <c r="H127" s="3">
        <v>77.955967925773365</v>
      </c>
      <c r="I127" s="56">
        <f t="shared" si="1"/>
        <v>7.5081252729199095</v>
      </c>
      <c r="J127" s="56" t="s">
        <v>10</v>
      </c>
      <c r="K127" s="56" t="s">
        <v>10</v>
      </c>
      <c r="L127" s="56" t="s">
        <v>10</v>
      </c>
      <c r="M127" s="3" t="s">
        <v>14</v>
      </c>
      <c r="N127" s="3" t="s">
        <v>15</v>
      </c>
      <c r="O127" s="3" t="s">
        <v>410</v>
      </c>
      <c r="P127" s="39">
        <v>34.059673147083799</v>
      </c>
      <c r="Q127" s="39"/>
    </row>
    <row r="128" spans="1:17" x14ac:dyDescent="0.3">
      <c r="A128" s="42">
        <v>43209</v>
      </c>
      <c r="B128" s="85" t="s">
        <v>397</v>
      </c>
      <c r="C128" s="2" t="s">
        <v>405</v>
      </c>
      <c r="D128" s="3">
        <v>2</v>
      </c>
      <c r="E128" s="9">
        <v>2.0009000000000001</v>
      </c>
      <c r="F128" s="9">
        <v>93.952200000000005</v>
      </c>
      <c r="G128" s="9">
        <v>94.819900000000004</v>
      </c>
      <c r="H128" s="3">
        <v>76.194332475408856</v>
      </c>
      <c r="I128" s="56">
        <f t="shared" ref="I128:I191" si="2">((G128-F128)/(E128))*100*((100-H128)/100)</f>
        <v>10.323443306056133</v>
      </c>
      <c r="J128" s="56" t="s">
        <v>10</v>
      </c>
      <c r="K128" s="56" t="s">
        <v>10</v>
      </c>
      <c r="L128" s="56" t="s">
        <v>10</v>
      </c>
      <c r="M128" s="3" t="s">
        <v>14</v>
      </c>
      <c r="N128" s="3" t="s">
        <v>15</v>
      </c>
      <c r="O128" s="3" t="s">
        <v>410</v>
      </c>
      <c r="P128" s="39">
        <v>43.365485531510778</v>
      </c>
      <c r="Q128" s="39"/>
    </row>
    <row r="129" spans="1:17" x14ac:dyDescent="0.3">
      <c r="A129" s="42">
        <v>43214</v>
      </c>
      <c r="B129" s="85" t="s">
        <v>409</v>
      </c>
      <c r="C129" s="2" t="s">
        <v>406</v>
      </c>
      <c r="D129" s="3">
        <v>5</v>
      </c>
      <c r="E129" s="9">
        <v>2.0002</v>
      </c>
      <c r="F129" s="9">
        <v>93.953599999999994</v>
      </c>
      <c r="G129" s="9">
        <v>94.644499999999994</v>
      </c>
      <c r="H129" s="3">
        <v>77.771658981910321</v>
      </c>
      <c r="I129" s="56">
        <f t="shared" si="2"/>
        <v>7.6780126034387255</v>
      </c>
      <c r="J129" s="56" t="s">
        <v>10</v>
      </c>
      <c r="K129" s="56" t="s">
        <v>10</v>
      </c>
      <c r="L129" s="56" t="s">
        <v>10</v>
      </c>
      <c r="M129" s="3" t="s">
        <v>14</v>
      </c>
      <c r="N129" s="3" t="s">
        <v>15</v>
      </c>
      <c r="O129" s="3" t="s">
        <v>410</v>
      </c>
      <c r="P129" s="39">
        <v>34.541545845415413</v>
      </c>
      <c r="Q129" s="39"/>
    </row>
    <row r="130" spans="1:17" x14ac:dyDescent="0.3">
      <c r="A130" s="42">
        <v>43214</v>
      </c>
      <c r="B130" s="85" t="s">
        <v>398</v>
      </c>
      <c r="C130" s="2" t="s">
        <v>407</v>
      </c>
      <c r="D130" s="3">
        <v>6</v>
      </c>
      <c r="E130" s="9">
        <v>2.0009000000000001</v>
      </c>
      <c r="F130" s="9">
        <v>86.597200000000001</v>
      </c>
      <c r="G130" s="9">
        <v>87.314999999999998</v>
      </c>
      <c r="H130" s="3">
        <v>75.981412184030134</v>
      </c>
      <c r="I130" s="56">
        <f t="shared" si="2"/>
        <v>8.6163937899460716</v>
      </c>
      <c r="J130" s="56" t="s">
        <v>10</v>
      </c>
      <c r="K130" s="56" t="s">
        <v>10</v>
      </c>
      <c r="L130" s="56" t="s">
        <v>10</v>
      </c>
      <c r="M130" s="3" t="s">
        <v>14</v>
      </c>
      <c r="N130" s="3" t="s">
        <v>15</v>
      </c>
      <c r="O130" s="3" t="s">
        <v>410</v>
      </c>
      <c r="P130" s="39">
        <v>35.873856764455837</v>
      </c>
      <c r="Q130" s="39"/>
    </row>
    <row r="131" spans="1:17" x14ac:dyDescent="0.3">
      <c r="A131" s="42">
        <v>43214</v>
      </c>
      <c r="B131" s="85" t="s">
        <v>399</v>
      </c>
      <c r="C131" s="2" t="s">
        <v>408</v>
      </c>
      <c r="D131" s="3">
        <v>4</v>
      </c>
      <c r="E131" s="9">
        <v>2.0009000000000001</v>
      </c>
      <c r="F131" s="9">
        <v>84.419399999999996</v>
      </c>
      <c r="G131" s="9">
        <v>85.137900000000002</v>
      </c>
      <c r="H131" s="3">
        <v>77.545041892459324</v>
      </c>
      <c r="I131" s="56">
        <f t="shared" si="2"/>
        <v>8.063315208290323</v>
      </c>
      <c r="J131" s="56" t="s">
        <v>10</v>
      </c>
      <c r="K131" s="56" t="s">
        <v>10</v>
      </c>
      <c r="L131" s="56" t="s">
        <v>10</v>
      </c>
      <c r="M131" s="3" t="s">
        <v>14</v>
      </c>
      <c r="N131" s="3" t="s">
        <v>15</v>
      </c>
      <c r="O131" s="3" t="s">
        <v>410</v>
      </c>
      <c r="P131" s="39">
        <v>35.908841021540603</v>
      </c>
      <c r="Q131" s="39"/>
    </row>
    <row r="132" spans="1:17" x14ac:dyDescent="0.3">
      <c r="A132" s="42">
        <v>43215</v>
      </c>
      <c r="B132" s="85" t="s">
        <v>412</v>
      </c>
      <c r="C132" s="2" t="s">
        <v>411</v>
      </c>
      <c r="D132" s="3">
        <v>2</v>
      </c>
      <c r="E132" s="9">
        <v>5.0003000000000002</v>
      </c>
      <c r="F132" s="9">
        <v>88.534199999999998</v>
      </c>
      <c r="G132" s="9">
        <v>88.833500000000001</v>
      </c>
      <c r="H132" s="3"/>
      <c r="I132" s="56">
        <f t="shared" si="2"/>
        <v>5.9856408615483536</v>
      </c>
      <c r="J132" s="56" t="s">
        <v>10</v>
      </c>
      <c r="K132" s="56" t="s">
        <v>10</v>
      </c>
      <c r="L132" s="56" t="s">
        <v>10</v>
      </c>
      <c r="M132" s="3" t="s">
        <v>14</v>
      </c>
      <c r="N132" s="3" t="s">
        <v>15</v>
      </c>
      <c r="O132" s="3" t="s">
        <v>10</v>
      </c>
    </row>
    <row r="133" spans="1:17" x14ac:dyDescent="0.3">
      <c r="A133" s="42">
        <v>43216</v>
      </c>
      <c r="B133" s="85" t="s">
        <v>414</v>
      </c>
      <c r="C133" s="2" t="s">
        <v>413</v>
      </c>
      <c r="D133" s="3">
        <v>3</v>
      </c>
      <c r="E133" s="9">
        <v>5.0004999999999997</v>
      </c>
      <c r="F133" s="9">
        <v>86.566699999999997</v>
      </c>
      <c r="G133" s="9">
        <v>86.686099999999996</v>
      </c>
      <c r="H133" s="3"/>
      <c r="I133" s="56">
        <f t="shared" si="2"/>
        <v>2.3877612238775892</v>
      </c>
      <c r="J133" s="56" t="s">
        <v>10</v>
      </c>
      <c r="K133" s="56" t="s">
        <v>10</v>
      </c>
      <c r="L133" s="56" t="s">
        <v>10</v>
      </c>
      <c r="M133" s="3" t="s">
        <v>14</v>
      </c>
      <c r="N133" s="3" t="s">
        <v>15</v>
      </c>
      <c r="O133" s="3" t="s">
        <v>10</v>
      </c>
    </row>
    <row r="134" spans="1:17" x14ac:dyDescent="0.3">
      <c r="A134" s="42">
        <v>43217</v>
      </c>
      <c r="B134" s="85" t="s">
        <v>416</v>
      </c>
      <c r="C134" s="2" t="s">
        <v>415</v>
      </c>
      <c r="D134" s="3">
        <v>4</v>
      </c>
      <c r="E134" s="9">
        <v>5.0008999999999997</v>
      </c>
      <c r="F134" s="9">
        <v>81.909300000000002</v>
      </c>
      <c r="G134" s="9">
        <v>83.017399999999995</v>
      </c>
      <c r="H134" s="3"/>
      <c r="I134" s="56">
        <f t="shared" si="2"/>
        <v>22.158011557919441</v>
      </c>
      <c r="J134" s="56" t="s">
        <v>10</v>
      </c>
      <c r="K134" s="56" t="s">
        <v>10</v>
      </c>
      <c r="L134" s="56" t="s">
        <v>10</v>
      </c>
      <c r="M134" s="3" t="s">
        <v>14</v>
      </c>
      <c r="N134" s="3" t="s">
        <v>15</v>
      </c>
      <c r="O134" s="3" t="s">
        <v>10</v>
      </c>
    </row>
    <row r="135" spans="1:17" x14ac:dyDescent="0.3">
      <c r="A135" s="42">
        <v>43218</v>
      </c>
      <c r="B135" s="85" t="s">
        <v>418</v>
      </c>
      <c r="C135" s="2" t="s">
        <v>417</v>
      </c>
      <c r="D135" s="3">
        <v>1</v>
      </c>
      <c r="E135" s="9">
        <v>5.0000999999999998</v>
      </c>
      <c r="F135" s="9">
        <v>89.872100000000003</v>
      </c>
      <c r="G135" s="9">
        <v>89.971199999999996</v>
      </c>
      <c r="H135" s="3"/>
      <c r="I135" s="56">
        <f t="shared" si="2"/>
        <v>1.9819603607926415</v>
      </c>
      <c r="J135" s="56" t="s">
        <v>10</v>
      </c>
      <c r="K135" s="56" t="s">
        <v>10</v>
      </c>
      <c r="L135" s="56" t="s">
        <v>10</v>
      </c>
      <c r="M135" s="3" t="s">
        <v>14</v>
      </c>
      <c r="N135" s="3" t="s">
        <v>15</v>
      </c>
      <c r="O135" s="3" t="s">
        <v>10</v>
      </c>
    </row>
    <row r="136" spans="1:17" x14ac:dyDescent="0.3">
      <c r="A136" s="42">
        <v>43219</v>
      </c>
      <c r="B136" s="85" t="s">
        <v>420</v>
      </c>
      <c r="C136" s="2" t="s">
        <v>419</v>
      </c>
      <c r="D136" s="3">
        <v>2</v>
      </c>
      <c r="E136" s="9">
        <v>5.0000999999999998</v>
      </c>
      <c r="F136" s="9">
        <v>88.491200000000006</v>
      </c>
      <c r="G136" s="9">
        <v>88.550200000000004</v>
      </c>
      <c r="H136" s="3"/>
      <c r="I136" s="56">
        <f t="shared" si="2"/>
        <v>1.1799764004719406</v>
      </c>
      <c r="J136" s="56" t="s">
        <v>10</v>
      </c>
      <c r="K136" s="56" t="s">
        <v>10</v>
      </c>
      <c r="L136" s="56" t="s">
        <v>10</v>
      </c>
      <c r="M136" s="3" t="s">
        <v>14</v>
      </c>
      <c r="N136" s="3" t="s">
        <v>15</v>
      </c>
      <c r="O136" s="3" t="s">
        <v>10</v>
      </c>
    </row>
    <row r="137" spans="1:17" x14ac:dyDescent="0.3">
      <c r="A137" s="42">
        <v>43220</v>
      </c>
      <c r="B137" s="85" t="s">
        <v>423</v>
      </c>
      <c r="C137" s="2" t="s">
        <v>421</v>
      </c>
      <c r="D137" s="3">
        <v>1</v>
      </c>
      <c r="E137" s="9">
        <v>5.0004</v>
      </c>
      <c r="F137" s="9">
        <v>93.953500000000005</v>
      </c>
      <c r="G137" s="9">
        <v>94.022999999999996</v>
      </c>
      <c r="H137" s="3"/>
      <c r="I137" s="56">
        <f t="shared" si="2"/>
        <v>1.3898888088951042</v>
      </c>
      <c r="J137" s="56" t="s">
        <v>10</v>
      </c>
      <c r="K137" s="56" t="s">
        <v>10</v>
      </c>
      <c r="L137" s="56" t="s">
        <v>10</v>
      </c>
      <c r="M137" s="3" t="s">
        <v>14</v>
      </c>
      <c r="N137" s="3" t="s">
        <v>15</v>
      </c>
      <c r="O137" s="3" t="s">
        <v>10</v>
      </c>
    </row>
    <row r="138" spans="1:17" x14ac:dyDescent="0.3">
      <c r="A138" s="42">
        <v>43221</v>
      </c>
      <c r="B138" s="85" t="s">
        <v>424</v>
      </c>
      <c r="C138" s="2" t="s">
        <v>422</v>
      </c>
      <c r="D138" s="3">
        <v>2</v>
      </c>
      <c r="E138" s="9">
        <v>5.0004</v>
      </c>
      <c r="F138" s="9">
        <v>84.418400000000005</v>
      </c>
      <c r="G138" s="9">
        <v>84.760099999999994</v>
      </c>
      <c r="H138" s="3"/>
      <c r="I138" s="56">
        <f t="shared" si="2"/>
        <v>6.8334533237338775</v>
      </c>
      <c r="J138" s="56" t="s">
        <v>10</v>
      </c>
      <c r="K138" s="56" t="s">
        <v>10</v>
      </c>
      <c r="L138" s="56" t="s">
        <v>10</v>
      </c>
      <c r="M138" s="3" t="s">
        <v>14</v>
      </c>
      <c r="N138" s="3" t="s">
        <v>15</v>
      </c>
      <c r="O138" s="3" t="s">
        <v>10</v>
      </c>
    </row>
    <row r="139" spans="1:17" x14ac:dyDescent="0.3">
      <c r="A139" s="42">
        <v>43222</v>
      </c>
      <c r="B139" s="85" t="s">
        <v>426</v>
      </c>
      <c r="C139" s="2" t="s">
        <v>425</v>
      </c>
      <c r="D139" s="3">
        <v>3</v>
      </c>
      <c r="E139" s="9">
        <v>5.0004999999999997</v>
      </c>
      <c r="F139" s="9">
        <v>89.874300000000005</v>
      </c>
      <c r="G139" s="9">
        <v>89.970200000000006</v>
      </c>
      <c r="H139" s="3"/>
      <c r="I139" s="56">
        <f t="shared" si="2"/>
        <v>1.9178082191780885</v>
      </c>
      <c r="J139" s="56" t="s">
        <v>10</v>
      </c>
      <c r="K139" s="56" t="s">
        <v>10</v>
      </c>
      <c r="L139" s="56" t="s">
        <v>10</v>
      </c>
      <c r="M139" s="3" t="s">
        <v>14</v>
      </c>
      <c r="N139" s="3" t="s">
        <v>15</v>
      </c>
      <c r="O139" s="3" t="s">
        <v>10</v>
      </c>
    </row>
    <row r="140" spans="1:17" x14ac:dyDescent="0.3">
      <c r="A140" s="42">
        <v>43223</v>
      </c>
      <c r="B140" s="85" t="s">
        <v>428</v>
      </c>
      <c r="C140" s="2" t="s">
        <v>427</v>
      </c>
      <c r="D140" s="3">
        <v>2</v>
      </c>
      <c r="E140" s="9">
        <v>5.0008999999999997</v>
      </c>
      <c r="F140" s="9">
        <v>86.571200000000005</v>
      </c>
      <c r="G140" s="9">
        <v>86.677000000000007</v>
      </c>
      <c r="H140" s="3"/>
      <c r="I140" s="56">
        <f t="shared" si="2"/>
        <v>2.1156191885461042</v>
      </c>
      <c r="J140" s="56" t="s">
        <v>10</v>
      </c>
      <c r="K140" s="56" t="s">
        <v>10</v>
      </c>
      <c r="L140" s="56" t="s">
        <v>10</v>
      </c>
      <c r="M140" s="3" t="s">
        <v>14</v>
      </c>
      <c r="N140" s="3" t="s">
        <v>15</v>
      </c>
      <c r="O140" s="3" t="s">
        <v>10</v>
      </c>
    </row>
    <row r="141" spans="1:17" x14ac:dyDescent="0.3">
      <c r="A141" s="42">
        <v>43224</v>
      </c>
      <c r="B141" s="85" t="s">
        <v>429</v>
      </c>
      <c r="C141" s="2" t="s">
        <v>430</v>
      </c>
      <c r="D141" s="3">
        <v>1</v>
      </c>
      <c r="E141" s="9">
        <v>5.0003000000000002</v>
      </c>
      <c r="F141" s="9">
        <v>88.539199999999994</v>
      </c>
      <c r="G141" s="9">
        <v>88.680499999999995</v>
      </c>
      <c r="H141" s="3"/>
      <c r="I141" s="56">
        <f t="shared" si="2"/>
        <v>2.8258304501730116</v>
      </c>
      <c r="J141" s="56" t="s">
        <v>10</v>
      </c>
      <c r="K141" s="56" t="s">
        <v>10</v>
      </c>
      <c r="L141" s="56" t="s">
        <v>10</v>
      </c>
      <c r="M141" s="3" t="s">
        <v>14</v>
      </c>
      <c r="N141" s="3" t="s">
        <v>15</v>
      </c>
      <c r="O141" s="3" t="s">
        <v>10</v>
      </c>
    </row>
    <row r="142" spans="1:17" x14ac:dyDescent="0.3">
      <c r="A142" s="42">
        <v>43216</v>
      </c>
      <c r="B142" s="93" t="s">
        <v>431</v>
      </c>
      <c r="C142" s="2" t="s">
        <v>435</v>
      </c>
      <c r="D142" s="27">
        <v>1</v>
      </c>
      <c r="E142" s="27">
        <v>5.0008999999999997</v>
      </c>
      <c r="F142" s="9">
        <v>87.900899999999993</v>
      </c>
      <c r="G142" s="9">
        <v>88.0642</v>
      </c>
      <c r="H142" s="3"/>
      <c r="I142" s="56">
        <f t="shared" si="2"/>
        <v>3.2654122257994898</v>
      </c>
      <c r="J142" s="56" t="s">
        <v>10</v>
      </c>
      <c r="K142" s="56" t="s">
        <v>10</v>
      </c>
      <c r="L142" s="56" t="s">
        <v>10</v>
      </c>
      <c r="M142" s="3" t="s">
        <v>14</v>
      </c>
      <c r="N142" s="3" t="s">
        <v>15</v>
      </c>
      <c r="O142" s="3" t="s">
        <v>10</v>
      </c>
    </row>
    <row r="143" spans="1:17" x14ac:dyDescent="0.3">
      <c r="A143" s="42">
        <v>43216</v>
      </c>
      <c r="B143" s="93" t="s">
        <v>432</v>
      </c>
      <c r="C143" s="2" t="s">
        <v>436</v>
      </c>
      <c r="D143" s="27">
        <v>2</v>
      </c>
      <c r="E143" s="27">
        <v>5.0004999999999997</v>
      </c>
      <c r="F143" s="9">
        <v>84.421800000000005</v>
      </c>
      <c r="G143" s="9">
        <v>84.482699999999994</v>
      </c>
      <c r="H143" s="3"/>
      <c r="I143" s="56">
        <f t="shared" si="2"/>
        <v>1.2178782121785727</v>
      </c>
      <c r="J143" s="56" t="s">
        <v>10</v>
      </c>
      <c r="K143" s="56" t="s">
        <v>10</v>
      </c>
      <c r="L143" s="56" t="s">
        <v>10</v>
      </c>
      <c r="M143" s="3" t="s">
        <v>14</v>
      </c>
      <c r="N143" s="3" t="s">
        <v>15</v>
      </c>
      <c r="O143" s="3" t="s">
        <v>10</v>
      </c>
    </row>
    <row r="144" spans="1:17" x14ac:dyDescent="0.3">
      <c r="A144" s="42">
        <v>43216</v>
      </c>
      <c r="B144" s="93" t="s">
        <v>433</v>
      </c>
      <c r="C144" s="2" t="s">
        <v>437</v>
      </c>
      <c r="D144" s="27">
        <v>3</v>
      </c>
      <c r="E144" s="27">
        <v>5.0008999999999997</v>
      </c>
      <c r="F144" s="9">
        <v>86.570099999999996</v>
      </c>
      <c r="G144" s="9">
        <v>86.627700000000004</v>
      </c>
      <c r="H144" s="3"/>
      <c r="I144" s="56">
        <f t="shared" si="2"/>
        <v>1.1517926773182401</v>
      </c>
      <c r="J144" s="56" t="s">
        <v>10</v>
      </c>
      <c r="K144" s="56" t="s">
        <v>10</v>
      </c>
      <c r="L144" s="56" t="s">
        <v>10</v>
      </c>
      <c r="M144" s="3" t="s">
        <v>14</v>
      </c>
      <c r="N144" s="3" t="s">
        <v>15</v>
      </c>
      <c r="O144" s="3" t="s">
        <v>10</v>
      </c>
    </row>
    <row r="145" spans="1:15" x14ac:dyDescent="0.3">
      <c r="A145" s="42">
        <v>43216</v>
      </c>
      <c r="B145" s="93" t="s">
        <v>434</v>
      </c>
      <c r="C145" s="2" t="s">
        <v>438</v>
      </c>
      <c r="D145" s="27">
        <v>4</v>
      </c>
      <c r="E145" s="27">
        <v>5.0003000000000002</v>
      </c>
      <c r="F145" s="9">
        <v>93.954099999999997</v>
      </c>
      <c r="G145" s="9">
        <v>94.022499999999994</v>
      </c>
      <c r="H145" s="3"/>
      <c r="I145" s="56">
        <f t="shared" si="2"/>
        <v>1.3679179249244426</v>
      </c>
      <c r="J145" s="56" t="s">
        <v>10</v>
      </c>
      <c r="K145" s="56" t="s">
        <v>10</v>
      </c>
      <c r="L145" s="56" t="s">
        <v>10</v>
      </c>
      <c r="M145" s="3" t="s">
        <v>14</v>
      </c>
      <c r="N145" s="3" t="s">
        <v>15</v>
      </c>
      <c r="O145" s="3" t="s">
        <v>10</v>
      </c>
    </row>
    <row r="146" spans="1:15" x14ac:dyDescent="0.3">
      <c r="A146" s="42">
        <v>43215</v>
      </c>
      <c r="B146" s="85" t="s">
        <v>440</v>
      </c>
      <c r="C146" s="2" t="s">
        <v>439</v>
      </c>
      <c r="D146" s="3">
        <v>3</v>
      </c>
      <c r="E146" s="9">
        <v>5.0008999999999997</v>
      </c>
      <c r="F146" s="9">
        <v>88.157799999999995</v>
      </c>
      <c r="G146" s="9">
        <v>88.450199999999995</v>
      </c>
      <c r="H146" s="56" t="e">
        <f>+#REF!</f>
        <v>#REF!</v>
      </c>
      <c r="I146" s="56" t="e">
        <f t="shared" si="2"/>
        <v>#REF!</v>
      </c>
      <c r="J146" s="56" t="s">
        <v>10</v>
      </c>
      <c r="K146" s="56" t="s">
        <v>10</v>
      </c>
      <c r="L146" s="56" t="s">
        <v>10</v>
      </c>
      <c r="M146" s="3" t="s">
        <v>14</v>
      </c>
      <c r="N146" s="3" t="s">
        <v>15</v>
      </c>
      <c r="O146" s="3" t="s">
        <v>10</v>
      </c>
    </row>
    <row r="147" spans="1:15" x14ac:dyDescent="0.3">
      <c r="A147" s="42">
        <v>43222</v>
      </c>
      <c r="B147" s="85" t="s">
        <v>442</v>
      </c>
      <c r="C147" s="2" t="s">
        <v>441</v>
      </c>
      <c r="D147" s="3">
        <v>4</v>
      </c>
      <c r="E147" s="9">
        <v>5.0007999999999999</v>
      </c>
      <c r="F147" s="9">
        <v>89.872799999999998</v>
      </c>
      <c r="G147" s="9">
        <v>90.845600000000005</v>
      </c>
      <c r="H147" s="3"/>
      <c r="I147" s="56">
        <f t="shared" si="2"/>
        <v>19.452887537994052</v>
      </c>
      <c r="J147" s="56" t="s">
        <v>10</v>
      </c>
      <c r="K147" s="56" t="s">
        <v>10</v>
      </c>
      <c r="L147" s="56" t="s">
        <v>10</v>
      </c>
      <c r="M147" s="3" t="s">
        <v>14</v>
      </c>
      <c r="N147" s="3" t="s">
        <v>15</v>
      </c>
      <c r="O147" s="3" t="s">
        <v>10</v>
      </c>
    </row>
    <row r="148" spans="1:15" x14ac:dyDescent="0.3">
      <c r="A148" s="42">
        <v>43222</v>
      </c>
      <c r="B148" s="85" t="s">
        <v>443</v>
      </c>
      <c r="C148" s="2" t="s">
        <v>446</v>
      </c>
      <c r="D148" s="3">
        <v>3</v>
      </c>
      <c r="E148" s="9">
        <v>5.0004</v>
      </c>
      <c r="F148" s="9">
        <v>86.57</v>
      </c>
      <c r="G148" s="9">
        <v>86.585800000000006</v>
      </c>
      <c r="H148" s="3"/>
      <c r="I148" s="56">
        <f t="shared" si="2"/>
        <v>0.31597472202249649</v>
      </c>
      <c r="J148" s="56" t="s">
        <v>10</v>
      </c>
      <c r="K148" s="56" t="s">
        <v>10</v>
      </c>
      <c r="L148" s="56" t="s">
        <v>10</v>
      </c>
      <c r="M148" s="3" t="s">
        <v>14</v>
      </c>
      <c r="N148" s="3" t="s">
        <v>15</v>
      </c>
      <c r="O148" s="3" t="s">
        <v>10</v>
      </c>
    </row>
    <row r="149" spans="1:15" x14ac:dyDescent="0.3">
      <c r="A149" s="42">
        <v>43222</v>
      </c>
      <c r="B149" s="85" t="s">
        <v>444</v>
      </c>
      <c r="C149" s="2" t="s">
        <v>447</v>
      </c>
      <c r="D149" s="3">
        <v>2</v>
      </c>
      <c r="E149" s="9">
        <v>5.0000999999999998</v>
      </c>
      <c r="F149" s="9">
        <v>87.899100000000004</v>
      </c>
      <c r="G149" s="9">
        <v>88.262</v>
      </c>
      <c r="H149" s="3"/>
      <c r="I149" s="56">
        <f t="shared" si="2"/>
        <v>7.2578548429030665</v>
      </c>
      <c r="J149" s="56" t="s">
        <v>10</v>
      </c>
      <c r="K149" s="56" t="s">
        <v>10</v>
      </c>
      <c r="L149" s="56" t="s">
        <v>10</v>
      </c>
      <c r="M149" s="3" t="s">
        <v>14</v>
      </c>
      <c r="N149" s="3" t="s">
        <v>15</v>
      </c>
      <c r="O149" s="3" t="s">
        <v>10</v>
      </c>
    </row>
    <row r="150" spans="1:15" x14ac:dyDescent="0.3">
      <c r="A150" s="42">
        <v>43223</v>
      </c>
      <c r="B150" s="85" t="s">
        <v>445</v>
      </c>
      <c r="C150" s="2" t="s">
        <v>448</v>
      </c>
      <c r="D150" s="3">
        <v>2</v>
      </c>
      <c r="E150" s="9">
        <v>2.0009000000000001</v>
      </c>
      <c r="F150" s="9">
        <v>81.9101</v>
      </c>
      <c r="G150" s="9">
        <v>81.918599999999998</v>
      </c>
      <c r="H150" s="3"/>
      <c r="I150" s="56">
        <f t="shared" si="2"/>
        <v>0.42480883602368696</v>
      </c>
      <c r="J150" s="56" t="s">
        <v>10</v>
      </c>
      <c r="K150" s="56" t="s">
        <v>10</v>
      </c>
      <c r="L150" s="56" t="s">
        <v>10</v>
      </c>
      <c r="M150" s="3" t="s">
        <v>14</v>
      </c>
      <c r="N150" s="3" t="s">
        <v>15</v>
      </c>
      <c r="O150" s="3" t="s">
        <v>10</v>
      </c>
    </row>
    <row r="151" spans="1:15" x14ac:dyDescent="0.3">
      <c r="A151" s="42">
        <v>43227</v>
      </c>
      <c r="B151" s="85" t="s">
        <v>452</v>
      </c>
      <c r="C151" s="2" t="s">
        <v>451</v>
      </c>
      <c r="D151" s="3">
        <v>1</v>
      </c>
      <c r="E151" s="9">
        <v>6.0008999999999997</v>
      </c>
      <c r="F151" s="9">
        <v>93.952600000000004</v>
      </c>
      <c r="G151" s="9">
        <v>98.888599999999997</v>
      </c>
      <c r="H151" s="56" t="e">
        <f>+#REF!</f>
        <v>#REF!</v>
      </c>
      <c r="I151" s="56" t="e">
        <f t="shared" si="2"/>
        <v>#REF!</v>
      </c>
      <c r="J151" s="56" t="s">
        <v>10</v>
      </c>
      <c r="K151" s="56" t="s">
        <v>10</v>
      </c>
      <c r="L151" s="56" t="s">
        <v>10</v>
      </c>
      <c r="M151" s="3" t="s">
        <v>14</v>
      </c>
      <c r="N151" s="3" t="s">
        <v>15</v>
      </c>
      <c r="O151" s="3" t="s">
        <v>10</v>
      </c>
    </row>
    <row r="152" spans="1:15" x14ac:dyDescent="0.3">
      <c r="A152" s="42">
        <v>43227</v>
      </c>
      <c r="B152" s="85" t="s">
        <v>455</v>
      </c>
      <c r="C152" s="2" t="s">
        <v>458</v>
      </c>
      <c r="D152" s="3" t="s">
        <v>127</v>
      </c>
      <c r="E152" s="9">
        <v>2.0002</v>
      </c>
      <c r="F152" s="9">
        <v>88.552899999999994</v>
      </c>
      <c r="G152" s="9">
        <v>88.5779</v>
      </c>
      <c r="H152" s="3"/>
      <c r="I152" s="56">
        <f t="shared" si="2"/>
        <v>1.2498750124990343</v>
      </c>
      <c r="J152" s="56" t="s">
        <v>10</v>
      </c>
      <c r="K152" s="56" t="s">
        <v>10</v>
      </c>
      <c r="L152" s="56" t="s">
        <v>10</v>
      </c>
      <c r="M152" s="3" t="s">
        <v>14</v>
      </c>
      <c r="N152" s="3" t="s">
        <v>15</v>
      </c>
      <c r="O152" s="3" t="s">
        <v>10</v>
      </c>
    </row>
    <row r="153" spans="1:15" x14ac:dyDescent="0.3">
      <c r="A153" s="42">
        <v>43227</v>
      </c>
      <c r="B153" s="85" t="s">
        <v>454</v>
      </c>
      <c r="C153" s="2" t="s">
        <v>453</v>
      </c>
      <c r="D153" s="3">
        <v>3</v>
      </c>
      <c r="E153" s="9">
        <v>3.0009000000000001</v>
      </c>
      <c r="F153" s="9">
        <v>88.492599999999996</v>
      </c>
      <c r="G153" s="9">
        <v>89.863900000000001</v>
      </c>
      <c r="H153" s="56" t="e">
        <f>+#REF!</f>
        <v>#REF!</v>
      </c>
      <c r="I153" s="56" t="e">
        <f t="shared" si="2"/>
        <v>#REF!</v>
      </c>
      <c r="J153" s="56" t="s">
        <v>10</v>
      </c>
      <c r="K153" s="56" t="s">
        <v>10</v>
      </c>
      <c r="L153" s="56" t="s">
        <v>10</v>
      </c>
      <c r="M153" s="3" t="s">
        <v>14</v>
      </c>
      <c r="N153" s="3" t="s">
        <v>15</v>
      </c>
      <c r="O153" s="3" t="s">
        <v>10</v>
      </c>
    </row>
    <row r="154" spans="1:15" x14ac:dyDescent="0.3">
      <c r="A154" s="42">
        <v>43224</v>
      </c>
      <c r="B154" s="85" t="s">
        <v>456</v>
      </c>
      <c r="C154" s="2" t="s">
        <v>459</v>
      </c>
      <c r="D154" s="3" t="s">
        <v>127</v>
      </c>
      <c r="E154" s="9">
        <v>2.0004</v>
      </c>
      <c r="F154" s="9">
        <v>86.5989</v>
      </c>
      <c r="G154" s="9">
        <v>86.615600000000001</v>
      </c>
      <c r="H154" s="3"/>
      <c r="I154" s="56">
        <f t="shared" si="2"/>
        <v>0.83483303339332937</v>
      </c>
      <c r="J154" s="56" t="s">
        <v>10</v>
      </c>
      <c r="K154" s="56" t="s">
        <v>10</v>
      </c>
      <c r="L154" s="56" t="s">
        <v>10</v>
      </c>
      <c r="M154" s="3" t="s">
        <v>14</v>
      </c>
      <c r="N154" s="3" t="s">
        <v>15</v>
      </c>
      <c r="O154" s="3" t="s">
        <v>10</v>
      </c>
    </row>
    <row r="155" spans="1:15" x14ac:dyDescent="0.3">
      <c r="A155" s="42">
        <v>43224</v>
      </c>
      <c r="B155" s="85" t="s">
        <v>457</v>
      </c>
      <c r="C155" s="2" t="s">
        <v>460</v>
      </c>
      <c r="D155" s="3" t="s">
        <v>127</v>
      </c>
      <c r="E155" s="9">
        <v>1.0003</v>
      </c>
      <c r="F155" s="9">
        <v>89.873900000000006</v>
      </c>
      <c r="G155" s="9">
        <v>89.895499999999998</v>
      </c>
      <c r="H155" s="3"/>
      <c r="I155" s="56">
        <f t="shared" si="2"/>
        <v>2.1593521943409266</v>
      </c>
      <c r="J155" s="56" t="s">
        <v>10</v>
      </c>
      <c r="K155" s="56" t="s">
        <v>10</v>
      </c>
      <c r="L155" s="56" t="s">
        <v>10</v>
      </c>
      <c r="M155" s="3" t="s">
        <v>14</v>
      </c>
      <c r="N155" s="3" t="s">
        <v>15</v>
      </c>
      <c r="O155" s="3" t="s">
        <v>10</v>
      </c>
    </row>
    <row r="156" spans="1:15" x14ac:dyDescent="0.3">
      <c r="A156" s="42">
        <v>43228</v>
      </c>
      <c r="B156" s="85" t="s">
        <v>465</v>
      </c>
      <c r="C156" s="2" t="s">
        <v>464</v>
      </c>
      <c r="D156" s="3">
        <v>1</v>
      </c>
      <c r="E156" s="9">
        <v>5.0008999999999997</v>
      </c>
      <c r="F156" s="9">
        <v>88.156700000000001</v>
      </c>
      <c r="G156" s="9">
        <v>88.248199999999997</v>
      </c>
      <c r="H156" s="3"/>
      <c r="I156" s="56">
        <f t="shared" si="2"/>
        <v>1.8296706592812566</v>
      </c>
      <c r="J156" s="56" t="s">
        <v>10</v>
      </c>
      <c r="K156" s="56" t="s">
        <v>10</v>
      </c>
      <c r="L156" s="56" t="s">
        <v>10</v>
      </c>
      <c r="M156" s="3" t="s">
        <v>14</v>
      </c>
      <c r="N156" s="3" t="s">
        <v>15</v>
      </c>
      <c r="O156" s="3" t="s">
        <v>10</v>
      </c>
    </row>
    <row r="157" spans="1:15" x14ac:dyDescent="0.3">
      <c r="A157" s="42">
        <v>43228</v>
      </c>
      <c r="B157" s="85" t="s">
        <v>466</v>
      </c>
      <c r="C157" s="2" t="s">
        <v>467</v>
      </c>
      <c r="D157" s="3">
        <v>2</v>
      </c>
      <c r="E157" s="9">
        <v>5.0007999999999999</v>
      </c>
      <c r="F157" s="9">
        <v>86.594200000000001</v>
      </c>
      <c r="G157" s="9">
        <v>86.696899999999999</v>
      </c>
      <c r="H157" s="3"/>
      <c r="I157" s="56">
        <f t="shared" si="2"/>
        <v>2.0536714125739617</v>
      </c>
      <c r="J157" s="56" t="s">
        <v>10</v>
      </c>
      <c r="K157" s="56" t="s">
        <v>10</v>
      </c>
      <c r="L157" s="56" t="s">
        <v>10</v>
      </c>
      <c r="M157" s="3" t="s">
        <v>14</v>
      </c>
      <c r="N157" s="3" t="s">
        <v>15</v>
      </c>
      <c r="O157" s="3" t="s">
        <v>10</v>
      </c>
    </row>
    <row r="158" spans="1:15" x14ac:dyDescent="0.3">
      <c r="A158" s="42">
        <v>43223</v>
      </c>
      <c r="B158" s="85" t="s">
        <v>470</v>
      </c>
      <c r="C158" s="2" t="s">
        <v>468</v>
      </c>
      <c r="D158" s="3">
        <v>1</v>
      </c>
      <c r="E158" s="9">
        <v>8.0008999999999997</v>
      </c>
      <c r="F158" s="9">
        <v>86.561000000000007</v>
      </c>
      <c r="G158" s="9">
        <v>87.386600000000001</v>
      </c>
      <c r="H158" s="56" t="e">
        <f>+#REF!</f>
        <v>#REF!</v>
      </c>
      <c r="I158" s="56" t="e">
        <f t="shared" si="2"/>
        <v>#REF!</v>
      </c>
      <c r="J158" s="56" t="s">
        <v>10</v>
      </c>
      <c r="K158" s="56" t="s">
        <v>10</v>
      </c>
      <c r="L158" s="56" t="s">
        <v>10</v>
      </c>
      <c r="M158" s="3" t="s">
        <v>14</v>
      </c>
      <c r="N158" s="3" t="s">
        <v>15</v>
      </c>
      <c r="O158" s="3" t="s">
        <v>10</v>
      </c>
    </row>
    <row r="159" spans="1:15" x14ac:dyDescent="0.3">
      <c r="A159" s="42">
        <v>43223</v>
      </c>
      <c r="B159" s="85" t="s">
        <v>469</v>
      </c>
      <c r="C159" s="2" t="s">
        <v>471</v>
      </c>
      <c r="D159" s="3">
        <v>2</v>
      </c>
      <c r="E159" s="9">
        <v>3.0007999999999999</v>
      </c>
      <c r="F159" s="9">
        <v>89.872299999999996</v>
      </c>
      <c r="G159" s="9">
        <v>90.961100000000002</v>
      </c>
      <c r="H159" s="56" t="e">
        <f>+#REF!</f>
        <v>#REF!</v>
      </c>
      <c r="I159" s="56" t="e">
        <f t="shared" si="2"/>
        <v>#REF!</v>
      </c>
      <c r="J159" s="56" t="s">
        <v>10</v>
      </c>
      <c r="K159" s="56" t="s">
        <v>10</v>
      </c>
      <c r="L159" s="56" t="s">
        <v>10</v>
      </c>
      <c r="M159" s="3" t="s">
        <v>14</v>
      </c>
      <c r="N159" s="3" t="s">
        <v>15</v>
      </c>
      <c r="O159" s="3" t="s">
        <v>10</v>
      </c>
    </row>
    <row r="160" spans="1:15" x14ac:dyDescent="0.3">
      <c r="A160" s="42">
        <v>43223</v>
      </c>
      <c r="B160" s="85" t="s">
        <v>472</v>
      </c>
      <c r="C160" s="2" t="s">
        <v>473</v>
      </c>
      <c r="D160" s="3">
        <v>3</v>
      </c>
      <c r="E160" s="9">
        <v>2.0009000000000001</v>
      </c>
      <c r="F160" s="9">
        <v>88.534199999999998</v>
      </c>
      <c r="G160" s="9">
        <v>89.114900000000006</v>
      </c>
      <c r="H160" s="56" t="e">
        <f>+#REF!</f>
        <v>#REF!</v>
      </c>
      <c r="I160" s="56" t="e">
        <f t="shared" si="2"/>
        <v>#REF!</v>
      </c>
      <c r="J160" s="56" t="s">
        <v>10</v>
      </c>
      <c r="K160" s="56" t="s">
        <v>10</v>
      </c>
      <c r="L160" s="56" t="s">
        <v>10</v>
      </c>
      <c r="M160" s="3" t="s">
        <v>14</v>
      </c>
      <c r="N160" s="3" t="s">
        <v>15</v>
      </c>
      <c r="O160" s="3" t="s">
        <v>10</v>
      </c>
    </row>
    <row r="161" spans="1:15" x14ac:dyDescent="0.3">
      <c r="A161" s="42">
        <v>43223</v>
      </c>
      <c r="B161" s="85" t="s">
        <v>474</v>
      </c>
      <c r="C161" s="2" t="s">
        <v>475</v>
      </c>
      <c r="D161" s="3">
        <v>4</v>
      </c>
      <c r="E161" s="9">
        <v>2.0007999999999999</v>
      </c>
      <c r="F161" s="9">
        <v>86.596800000000002</v>
      </c>
      <c r="G161" s="9">
        <v>86.7029</v>
      </c>
      <c r="H161" s="56" t="e">
        <f>+#REF!</f>
        <v>#REF!</v>
      </c>
      <c r="I161" s="56" t="e">
        <f t="shared" si="2"/>
        <v>#REF!</v>
      </c>
      <c r="J161" s="56" t="s">
        <v>10</v>
      </c>
      <c r="K161" s="56" t="s">
        <v>10</v>
      </c>
      <c r="L161" s="56" t="s">
        <v>10</v>
      </c>
      <c r="M161" s="3" t="s">
        <v>14</v>
      </c>
      <c r="N161" s="3" t="s">
        <v>15</v>
      </c>
      <c r="O161" s="3" t="s">
        <v>10</v>
      </c>
    </row>
    <row r="162" spans="1:15" x14ac:dyDescent="0.3">
      <c r="A162" s="42">
        <v>43223</v>
      </c>
      <c r="B162" s="85" t="s">
        <v>476</v>
      </c>
      <c r="C162" s="2" t="s">
        <v>477</v>
      </c>
      <c r="D162" s="3">
        <v>5</v>
      </c>
      <c r="E162" s="9">
        <v>2.0007999999999999</v>
      </c>
      <c r="F162" s="9">
        <v>87.898099999999999</v>
      </c>
      <c r="G162" s="9">
        <v>87.986500000000007</v>
      </c>
      <c r="H162" s="56" t="e">
        <f>+#REF!</f>
        <v>#REF!</v>
      </c>
      <c r="I162" s="56" t="e">
        <f t="shared" si="2"/>
        <v>#REF!</v>
      </c>
      <c r="J162" s="56" t="s">
        <v>10</v>
      </c>
      <c r="K162" s="56" t="s">
        <v>10</v>
      </c>
      <c r="L162" s="56" t="s">
        <v>10</v>
      </c>
      <c r="M162" s="3" t="s">
        <v>14</v>
      </c>
      <c r="N162" s="3" t="s">
        <v>15</v>
      </c>
      <c r="O162" s="3" t="s">
        <v>10</v>
      </c>
    </row>
    <row r="163" spans="1:15" x14ac:dyDescent="0.3">
      <c r="A163" s="42">
        <v>43223</v>
      </c>
      <c r="B163" s="85" t="s">
        <v>479</v>
      </c>
      <c r="C163" s="2" t="s">
        <v>478</v>
      </c>
      <c r="D163" s="3">
        <v>6</v>
      </c>
      <c r="E163" s="9">
        <v>2.0009000000000001</v>
      </c>
      <c r="F163" s="9">
        <v>81.9084</v>
      </c>
      <c r="G163" s="9">
        <v>82.065700000000007</v>
      </c>
      <c r="H163" s="56" t="e">
        <f>+#REF!</f>
        <v>#REF!</v>
      </c>
      <c r="I163" s="56" t="e">
        <f t="shared" si="2"/>
        <v>#REF!</v>
      </c>
      <c r="J163" s="56" t="s">
        <v>10</v>
      </c>
      <c r="K163" s="56" t="s">
        <v>10</v>
      </c>
      <c r="L163" s="56" t="s">
        <v>10</v>
      </c>
      <c r="M163" s="3" t="s">
        <v>14</v>
      </c>
      <c r="N163" s="3" t="s">
        <v>15</v>
      </c>
      <c r="O163" s="3" t="s">
        <v>10</v>
      </c>
    </row>
    <row r="164" spans="1:15" x14ac:dyDescent="0.3">
      <c r="A164" s="42">
        <v>43224</v>
      </c>
      <c r="B164" s="85" t="s">
        <v>480</v>
      </c>
      <c r="C164" s="2" t="s">
        <v>481</v>
      </c>
      <c r="D164" s="3">
        <v>5</v>
      </c>
      <c r="E164" s="9">
        <v>3.0009000000000001</v>
      </c>
      <c r="F164" s="9">
        <v>89.487099999999998</v>
      </c>
      <c r="G164" s="9">
        <v>90.642099999999999</v>
      </c>
      <c r="H164" s="56" t="e">
        <f>+#REF!</f>
        <v>#REF!</v>
      </c>
      <c r="I164" s="56" t="e">
        <f t="shared" si="2"/>
        <v>#REF!</v>
      </c>
      <c r="J164" s="56" t="s">
        <v>10</v>
      </c>
      <c r="K164" s="56" t="s">
        <v>10</v>
      </c>
      <c r="L164" s="56" t="s">
        <v>10</v>
      </c>
      <c r="M164" s="3" t="s">
        <v>14</v>
      </c>
      <c r="N164" s="3" t="s">
        <v>15</v>
      </c>
      <c r="O164" s="3" t="s">
        <v>10</v>
      </c>
    </row>
    <row r="165" spans="1:15" x14ac:dyDescent="0.3">
      <c r="A165" s="42">
        <v>43227</v>
      </c>
      <c r="B165" s="85" t="s">
        <v>470</v>
      </c>
      <c r="C165" s="2" t="s">
        <v>468</v>
      </c>
      <c r="D165" s="3">
        <v>1</v>
      </c>
      <c r="E165" s="9">
        <v>5.0008999999999997</v>
      </c>
      <c r="F165" s="9">
        <v>81.912499999999994</v>
      </c>
      <c r="G165" s="9">
        <v>82.349199999999996</v>
      </c>
      <c r="H165" s="3">
        <v>13.625508377352135</v>
      </c>
      <c r="I165" s="56">
        <f t="shared" si="2"/>
        <v>7.5425904320443298</v>
      </c>
      <c r="J165" s="56" t="s">
        <v>10</v>
      </c>
      <c r="K165" s="56" t="s">
        <v>10</v>
      </c>
      <c r="L165" s="56" t="s">
        <v>10</v>
      </c>
      <c r="M165" s="3" t="s">
        <v>14</v>
      </c>
      <c r="N165" s="3" t="s">
        <v>15</v>
      </c>
      <c r="O165" s="3" t="s">
        <v>10</v>
      </c>
    </row>
    <row r="166" spans="1:15" x14ac:dyDescent="0.3">
      <c r="A166" s="42">
        <v>43227</v>
      </c>
      <c r="B166" s="85" t="s">
        <v>469</v>
      </c>
      <c r="C166" s="2" t="s">
        <v>471</v>
      </c>
      <c r="D166" s="3">
        <v>5</v>
      </c>
      <c r="E166" s="9">
        <v>5.0008999999999997</v>
      </c>
      <c r="F166" s="9">
        <v>121.27679999999999</v>
      </c>
      <c r="G166" s="9">
        <v>123.26309999999999</v>
      </c>
      <c r="H166" s="3">
        <v>69.000579895618813</v>
      </c>
      <c r="I166" s="56">
        <f t="shared" si="2"/>
        <v>12.312613360261624</v>
      </c>
      <c r="J166" s="56" t="s">
        <v>10</v>
      </c>
      <c r="K166" s="56" t="s">
        <v>10</v>
      </c>
      <c r="L166" s="56" t="s">
        <v>10</v>
      </c>
      <c r="M166" s="3" t="s">
        <v>14</v>
      </c>
      <c r="N166" s="3" t="s">
        <v>15</v>
      </c>
      <c r="O166" s="3" t="s">
        <v>10</v>
      </c>
    </row>
    <row r="167" spans="1:15" x14ac:dyDescent="0.3">
      <c r="A167" s="42">
        <v>43227</v>
      </c>
      <c r="B167" s="85" t="s">
        <v>472</v>
      </c>
      <c r="C167" s="2" t="s">
        <v>473</v>
      </c>
      <c r="D167" s="3">
        <v>2</v>
      </c>
      <c r="E167" s="9">
        <v>5.0007999999999999</v>
      </c>
      <c r="F167" s="9">
        <v>87.899799999999999</v>
      </c>
      <c r="G167" s="9">
        <v>89.739900000000006</v>
      </c>
      <c r="H167" s="56" t="e">
        <f>+#REF!</f>
        <v>#REF!</v>
      </c>
      <c r="I167" s="56" t="e">
        <f t="shared" si="2"/>
        <v>#REF!</v>
      </c>
      <c r="J167" s="56" t="s">
        <v>10</v>
      </c>
      <c r="K167" s="56" t="s">
        <v>10</v>
      </c>
      <c r="L167" s="56" t="s">
        <v>10</v>
      </c>
      <c r="M167" s="3" t="s">
        <v>14</v>
      </c>
      <c r="N167" s="3" t="s">
        <v>15</v>
      </c>
      <c r="O167" s="3" t="s">
        <v>10</v>
      </c>
    </row>
    <row r="168" spans="1:15" x14ac:dyDescent="0.3">
      <c r="A168" s="42">
        <v>43227</v>
      </c>
      <c r="B168" s="85" t="s">
        <v>474</v>
      </c>
      <c r="C168" s="2" t="s">
        <v>475</v>
      </c>
      <c r="D168" s="3">
        <v>3</v>
      </c>
      <c r="E168" s="9">
        <v>5.0008999999999997</v>
      </c>
      <c r="F168" s="9">
        <v>86.572299999999998</v>
      </c>
      <c r="G168" s="9">
        <v>86.983999999999995</v>
      </c>
      <c r="H168" s="3">
        <v>76.566808973910909</v>
      </c>
      <c r="I168" s="56">
        <f t="shared" si="2"/>
        <v>1.9291417035815135</v>
      </c>
      <c r="J168" s="56" t="s">
        <v>10</v>
      </c>
      <c r="K168" s="56" t="s">
        <v>10</v>
      </c>
      <c r="L168" s="56" t="s">
        <v>10</v>
      </c>
      <c r="M168" s="3" t="s">
        <v>14</v>
      </c>
      <c r="N168" s="3" t="s">
        <v>15</v>
      </c>
      <c r="O168" s="3" t="s">
        <v>10</v>
      </c>
    </row>
    <row r="169" spans="1:15" x14ac:dyDescent="0.3">
      <c r="A169" s="42">
        <v>43227</v>
      </c>
      <c r="B169" s="85" t="s">
        <v>476</v>
      </c>
      <c r="C169" s="2" t="s">
        <v>477</v>
      </c>
      <c r="D169" s="3">
        <v>4</v>
      </c>
      <c r="E169" s="9">
        <v>5.0007000000000001</v>
      </c>
      <c r="F169" s="9">
        <v>84.418899999999994</v>
      </c>
      <c r="G169" s="9">
        <v>84.688100000000006</v>
      </c>
      <c r="H169" s="3">
        <v>75.795388635910484</v>
      </c>
      <c r="I169" s="56">
        <f t="shared" si="2"/>
        <v>1.3029938567026997</v>
      </c>
      <c r="J169" s="56" t="s">
        <v>10</v>
      </c>
      <c r="K169" s="56" t="s">
        <v>10</v>
      </c>
      <c r="L169" s="56" t="s">
        <v>10</v>
      </c>
      <c r="M169" s="3" t="s">
        <v>14</v>
      </c>
      <c r="N169" s="3" t="s">
        <v>15</v>
      </c>
      <c r="O169" s="3" t="s">
        <v>10</v>
      </c>
    </row>
    <row r="170" spans="1:15" x14ac:dyDescent="0.3">
      <c r="A170" s="42">
        <v>43227</v>
      </c>
      <c r="B170" s="85" t="s">
        <v>479</v>
      </c>
      <c r="C170" s="2" t="s">
        <v>478</v>
      </c>
      <c r="D170" s="3">
        <v>5</v>
      </c>
      <c r="E170" s="9">
        <v>5.0008999999999997</v>
      </c>
      <c r="F170" s="9">
        <v>89.491200000000006</v>
      </c>
      <c r="G170" s="9">
        <v>89.823400000000007</v>
      </c>
      <c r="H170" s="3">
        <v>75.096235557138982</v>
      </c>
      <c r="I170" s="56">
        <f t="shared" si="2"/>
        <v>1.6543083340835523</v>
      </c>
      <c r="J170" s="56" t="s">
        <v>10</v>
      </c>
      <c r="K170" s="56" t="s">
        <v>10</v>
      </c>
      <c r="L170" s="56" t="s">
        <v>10</v>
      </c>
      <c r="M170" s="3" t="s">
        <v>14</v>
      </c>
      <c r="N170" s="3" t="s">
        <v>15</v>
      </c>
      <c r="O170" s="3" t="s">
        <v>10</v>
      </c>
    </row>
    <row r="171" spans="1:15" x14ac:dyDescent="0.3">
      <c r="A171" s="42">
        <v>43227</v>
      </c>
      <c r="B171" s="85" t="s">
        <v>480</v>
      </c>
      <c r="C171" s="2" t="s">
        <v>481</v>
      </c>
      <c r="D171" s="3">
        <v>6</v>
      </c>
      <c r="E171" s="9">
        <v>5.0007000000000001</v>
      </c>
      <c r="F171" s="9">
        <v>89.876199999999997</v>
      </c>
      <c r="G171" s="9">
        <v>91.841300000000004</v>
      </c>
      <c r="H171" s="56" t="e">
        <f>+#REF!</f>
        <v>#REF!</v>
      </c>
      <c r="I171" s="56" t="e">
        <f t="shared" si="2"/>
        <v>#REF!</v>
      </c>
      <c r="J171" s="56" t="s">
        <v>10</v>
      </c>
      <c r="K171" s="56" t="s">
        <v>10</v>
      </c>
      <c r="L171" s="56" t="s">
        <v>10</v>
      </c>
      <c r="M171" s="3" t="s">
        <v>14</v>
      </c>
      <c r="N171" s="3" t="s">
        <v>15</v>
      </c>
      <c r="O171" s="3" t="s">
        <v>10</v>
      </c>
    </row>
    <row r="172" spans="1:15" x14ac:dyDescent="0.3">
      <c r="A172" s="42">
        <v>43228</v>
      </c>
      <c r="B172" s="85" t="s">
        <v>462</v>
      </c>
      <c r="C172" s="2" t="s">
        <v>461</v>
      </c>
      <c r="D172" s="3">
        <v>1</v>
      </c>
      <c r="E172" s="9">
        <v>5.0006000000000004</v>
      </c>
      <c r="F172" s="9">
        <v>88.156199999999998</v>
      </c>
      <c r="G172" s="9">
        <v>89.292400000000001</v>
      </c>
      <c r="H172" s="56" t="e">
        <f>+#REF!</f>
        <v>#REF!</v>
      </c>
      <c r="I172" s="56" t="e">
        <f t="shared" si="2"/>
        <v>#REF!</v>
      </c>
      <c r="J172" s="56" t="s">
        <v>10</v>
      </c>
      <c r="K172" s="56" t="s">
        <v>10</v>
      </c>
      <c r="L172" s="56" t="s">
        <v>10</v>
      </c>
      <c r="M172" s="3" t="s">
        <v>14</v>
      </c>
      <c r="N172" s="3" t="s">
        <v>15</v>
      </c>
      <c r="O172" s="3" t="s">
        <v>10</v>
      </c>
    </row>
    <row r="173" spans="1:15" x14ac:dyDescent="0.3">
      <c r="A173" s="42">
        <v>43224</v>
      </c>
      <c r="B173" s="85" t="s">
        <v>485</v>
      </c>
      <c r="C173" s="2" t="s">
        <v>484</v>
      </c>
      <c r="D173" s="3">
        <v>2</v>
      </c>
      <c r="E173" s="9">
        <v>5.0002000000000004</v>
      </c>
      <c r="F173" s="9">
        <v>121.2394</v>
      </c>
      <c r="G173" s="9">
        <v>121.4512</v>
      </c>
      <c r="H173" s="3"/>
      <c r="I173" s="56">
        <f t="shared" si="2"/>
        <v>4.2358305667772616</v>
      </c>
      <c r="J173" s="56" t="s">
        <v>10</v>
      </c>
      <c r="K173" s="56" t="s">
        <v>10</v>
      </c>
      <c r="L173" s="56" t="s">
        <v>10</v>
      </c>
      <c r="M173" s="3" t="s">
        <v>14</v>
      </c>
      <c r="N173" s="3" t="s">
        <v>15</v>
      </c>
      <c r="O173" s="3" t="s">
        <v>10</v>
      </c>
    </row>
    <row r="174" spans="1:15" x14ac:dyDescent="0.3">
      <c r="A174" s="42">
        <v>43224</v>
      </c>
      <c r="B174" s="85" t="s">
        <v>486</v>
      </c>
      <c r="C174" s="2" t="s">
        <v>488</v>
      </c>
      <c r="D174" s="3">
        <v>3</v>
      </c>
      <c r="E174" s="9">
        <v>5.0008999999999997</v>
      </c>
      <c r="F174" s="9">
        <v>116.21169999999999</v>
      </c>
      <c r="G174" s="9">
        <v>116.3537</v>
      </c>
      <c r="H174" s="3"/>
      <c r="I174" s="56">
        <f t="shared" si="2"/>
        <v>2.8394888919996428</v>
      </c>
      <c r="J174" s="56" t="s">
        <v>10</v>
      </c>
      <c r="K174" s="56" t="s">
        <v>10</v>
      </c>
      <c r="L174" s="56" t="s">
        <v>10</v>
      </c>
      <c r="M174" s="3" t="s">
        <v>14</v>
      </c>
      <c r="N174" s="3" t="s">
        <v>15</v>
      </c>
      <c r="O174" s="3" t="s">
        <v>10</v>
      </c>
    </row>
    <row r="175" spans="1:15" x14ac:dyDescent="0.3">
      <c r="A175" s="42">
        <v>43224</v>
      </c>
      <c r="B175" s="85" t="s">
        <v>487</v>
      </c>
      <c r="C175" s="2" t="s">
        <v>489</v>
      </c>
      <c r="D175" s="3">
        <v>4</v>
      </c>
      <c r="E175" s="9">
        <v>5</v>
      </c>
      <c r="F175" s="9">
        <v>117.0243</v>
      </c>
      <c r="G175" s="9">
        <v>117.2162</v>
      </c>
      <c r="H175" s="3"/>
      <c r="I175" s="56">
        <f t="shared" si="2"/>
        <v>3.8380000000000787</v>
      </c>
      <c r="J175" s="56" t="s">
        <v>10</v>
      </c>
      <c r="K175" s="56" t="s">
        <v>10</v>
      </c>
      <c r="L175" s="56" t="s">
        <v>10</v>
      </c>
      <c r="M175" s="3" t="s">
        <v>14</v>
      </c>
      <c r="N175" s="3" t="s">
        <v>15</v>
      </c>
      <c r="O175" s="3" t="s">
        <v>10</v>
      </c>
    </row>
    <row r="176" spans="1:15" x14ac:dyDescent="0.3">
      <c r="A176" s="42">
        <v>43231</v>
      </c>
      <c r="B176" s="85" t="s">
        <v>490</v>
      </c>
      <c r="C176" s="2" t="s">
        <v>491</v>
      </c>
      <c r="D176" s="3">
        <v>2</v>
      </c>
      <c r="E176" s="9">
        <v>5.0007999999999999</v>
      </c>
      <c r="F176" s="9">
        <v>88.489800000000002</v>
      </c>
      <c r="G176" s="9">
        <v>88.648399999999995</v>
      </c>
      <c r="H176" s="3"/>
      <c r="I176" s="56">
        <f t="shared" si="2"/>
        <v>3.1714925611900648</v>
      </c>
      <c r="J176" s="56" t="s">
        <v>10</v>
      </c>
      <c r="K176" s="56" t="s">
        <v>10</v>
      </c>
      <c r="L176" s="56" t="s">
        <v>10</v>
      </c>
      <c r="M176" s="3" t="s">
        <v>14</v>
      </c>
      <c r="N176" s="3" t="s">
        <v>15</v>
      </c>
      <c r="O176" s="3" t="s">
        <v>10</v>
      </c>
    </row>
    <row r="177" spans="1:15" x14ac:dyDescent="0.3">
      <c r="A177" s="42">
        <v>43229</v>
      </c>
      <c r="B177" s="85" t="s">
        <v>493</v>
      </c>
      <c r="C177" s="2" t="s">
        <v>492</v>
      </c>
      <c r="D177" s="3">
        <v>6</v>
      </c>
      <c r="E177" s="5">
        <v>5</v>
      </c>
      <c r="F177" s="15">
        <v>84.416499999999999</v>
      </c>
      <c r="G177" s="15">
        <v>84.417000000000002</v>
      </c>
      <c r="H177" s="15"/>
      <c r="I177" s="56">
        <f t="shared" si="2"/>
        <v>1.0000000000047748E-2</v>
      </c>
      <c r="J177" s="56" t="s">
        <v>10</v>
      </c>
      <c r="K177" s="56" t="s">
        <v>10</v>
      </c>
      <c r="L177" s="56" t="s">
        <v>10</v>
      </c>
      <c r="M177" s="3" t="s">
        <v>14</v>
      </c>
      <c r="N177" s="3" t="s">
        <v>15</v>
      </c>
      <c r="O177" s="3" t="s">
        <v>10</v>
      </c>
    </row>
    <row r="178" spans="1:15" x14ac:dyDescent="0.3">
      <c r="A178" s="42">
        <v>43236</v>
      </c>
      <c r="B178" s="85" t="s">
        <v>513</v>
      </c>
      <c r="C178" s="2" t="s">
        <v>512</v>
      </c>
      <c r="D178" s="3">
        <v>2</v>
      </c>
      <c r="E178" s="9">
        <v>5.0008999999999997</v>
      </c>
      <c r="F178" s="9">
        <v>88.159499999999994</v>
      </c>
      <c r="G178" s="9">
        <v>88.174499999999995</v>
      </c>
      <c r="H178" s="3"/>
      <c r="I178" s="56">
        <f t="shared" si="2"/>
        <v>0.29994600971826213</v>
      </c>
      <c r="J178" s="56" t="s">
        <v>10</v>
      </c>
      <c r="K178" s="56" t="s">
        <v>10</v>
      </c>
      <c r="L178" s="56" t="s">
        <v>10</v>
      </c>
      <c r="M178" s="3" t="s">
        <v>14</v>
      </c>
      <c r="N178" s="3" t="s">
        <v>15</v>
      </c>
      <c r="O178" s="3" t="s">
        <v>10</v>
      </c>
    </row>
    <row r="179" spans="1:15" x14ac:dyDescent="0.3">
      <c r="A179" s="42">
        <v>43236</v>
      </c>
      <c r="B179" s="85" t="s">
        <v>514</v>
      </c>
      <c r="C179" s="2" t="s">
        <v>515</v>
      </c>
      <c r="D179" s="3">
        <v>1</v>
      </c>
      <c r="E179" s="9">
        <v>5.0008999999999997</v>
      </c>
      <c r="F179" s="9">
        <v>93.954899999999995</v>
      </c>
      <c r="G179" s="9">
        <v>95.450400000000002</v>
      </c>
      <c r="H179" s="56" t="e">
        <f>+#REF!</f>
        <v>#REF!</v>
      </c>
      <c r="I179" s="56" t="e">
        <f t="shared" si="2"/>
        <v>#REF!</v>
      </c>
      <c r="J179" s="56" t="s">
        <v>10</v>
      </c>
      <c r="K179" s="56" t="s">
        <v>10</v>
      </c>
      <c r="L179" s="56" t="s">
        <v>10</v>
      </c>
      <c r="M179" s="3" t="s">
        <v>14</v>
      </c>
      <c r="N179" s="3" t="s">
        <v>15</v>
      </c>
      <c r="O179" s="3" t="s">
        <v>10</v>
      </c>
    </row>
    <row r="180" spans="1:15" x14ac:dyDescent="0.3">
      <c r="A180" s="42">
        <v>43236</v>
      </c>
      <c r="B180" s="85" t="s">
        <v>517</v>
      </c>
      <c r="C180" s="2" t="s">
        <v>516</v>
      </c>
      <c r="D180" s="3" t="s">
        <v>127</v>
      </c>
      <c r="E180" s="9">
        <v>1.0007999999999999</v>
      </c>
      <c r="F180" s="9">
        <v>86.568299999999994</v>
      </c>
      <c r="G180" s="9">
        <v>86.669499999999999</v>
      </c>
      <c r="H180" s="3"/>
      <c r="I180" s="56">
        <f t="shared" si="2"/>
        <v>10.111910471623275</v>
      </c>
      <c r="J180" s="56" t="s">
        <v>10</v>
      </c>
      <c r="K180" s="56" t="s">
        <v>10</v>
      </c>
      <c r="L180" s="56" t="s">
        <v>10</v>
      </c>
      <c r="M180" s="3" t="s">
        <v>14</v>
      </c>
      <c r="N180" s="3" t="s">
        <v>15</v>
      </c>
      <c r="O180" s="3" t="s">
        <v>279</v>
      </c>
    </row>
    <row r="181" spans="1:15" x14ac:dyDescent="0.3">
      <c r="A181" s="42">
        <v>43241</v>
      </c>
      <c r="B181" s="85" t="s">
        <v>518</v>
      </c>
      <c r="C181" s="2" t="s">
        <v>519</v>
      </c>
      <c r="D181" s="3" t="s">
        <v>127</v>
      </c>
      <c r="E181" s="9">
        <v>1.0008999999999999</v>
      </c>
      <c r="F181" s="9">
        <v>89.884</v>
      </c>
      <c r="G181" s="9">
        <v>90.155199999999994</v>
      </c>
      <c r="H181" s="3"/>
      <c r="I181" s="56">
        <f t="shared" si="2"/>
        <v>27.095613947446623</v>
      </c>
      <c r="J181" s="56" t="s">
        <v>10</v>
      </c>
      <c r="K181" s="56" t="s">
        <v>10</v>
      </c>
      <c r="L181" s="56" t="s">
        <v>10</v>
      </c>
      <c r="M181" s="3" t="s">
        <v>14</v>
      </c>
      <c r="N181" s="3" t="s">
        <v>15</v>
      </c>
      <c r="O181" s="3" t="s">
        <v>279</v>
      </c>
    </row>
    <row r="182" spans="1:15" x14ac:dyDescent="0.3">
      <c r="A182" s="42">
        <v>43238</v>
      </c>
      <c r="B182" s="85" t="s">
        <v>521</v>
      </c>
      <c r="C182" s="3" t="s">
        <v>520</v>
      </c>
      <c r="D182" s="3">
        <v>3</v>
      </c>
      <c r="E182" s="9">
        <v>5.0007000000000001</v>
      </c>
      <c r="F182" s="9">
        <v>93.955200000000005</v>
      </c>
      <c r="G182" s="9">
        <v>94.206500000000005</v>
      </c>
      <c r="H182" s="3"/>
      <c r="I182" s="56">
        <f t="shared" si="2"/>
        <v>5.0252964584958209</v>
      </c>
      <c r="J182" s="56" t="s">
        <v>10</v>
      </c>
      <c r="K182" s="56" t="s">
        <v>10</v>
      </c>
      <c r="L182" s="56" t="s">
        <v>10</v>
      </c>
      <c r="M182" s="3" t="s">
        <v>14</v>
      </c>
      <c r="N182" s="3" t="s">
        <v>15</v>
      </c>
      <c r="O182" s="3" t="s">
        <v>10</v>
      </c>
    </row>
    <row r="183" spans="1:15" x14ac:dyDescent="0.3">
      <c r="A183" s="42">
        <v>43245</v>
      </c>
      <c r="B183" s="85" t="s">
        <v>523</v>
      </c>
      <c r="C183" s="2" t="s">
        <v>522</v>
      </c>
      <c r="D183" s="3">
        <v>2</v>
      </c>
      <c r="E183" s="9">
        <v>2.0002</v>
      </c>
      <c r="F183" s="9">
        <v>89.492699999999999</v>
      </c>
      <c r="G183" s="9">
        <v>89.532799999999995</v>
      </c>
      <c r="H183" s="3"/>
      <c r="I183" s="56">
        <f t="shared" si="2"/>
        <v>2.0047995200477633</v>
      </c>
      <c r="J183" s="56" t="s">
        <v>10</v>
      </c>
      <c r="K183" s="56" t="s">
        <v>10</v>
      </c>
      <c r="L183" s="56" t="s">
        <v>10</v>
      </c>
      <c r="M183" s="3" t="s">
        <v>14</v>
      </c>
      <c r="N183" s="3" t="s">
        <v>15</v>
      </c>
      <c r="O183" s="3" t="s">
        <v>10</v>
      </c>
    </row>
    <row r="184" spans="1:15" x14ac:dyDescent="0.3">
      <c r="A184" s="77">
        <v>43238</v>
      </c>
      <c r="B184" s="85" t="s">
        <v>532</v>
      </c>
      <c r="C184" s="2" t="s">
        <v>533</v>
      </c>
      <c r="D184" s="3">
        <v>1</v>
      </c>
      <c r="E184" s="15">
        <v>5.0002000000000004</v>
      </c>
      <c r="F184" s="9">
        <v>87.901899999999998</v>
      </c>
      <c r="G184" s="9">
        <v>87.981800000000007</v>
      </c>
      <c r="H184" s="3"/>
      <c r="I184" s="56">
        <f t="shared" si="2"/>
        <v>1.5979360825568814</v>
      </c>
      <c r="J184" s="56" t="s">
        <v>10</v>
      </c>
      <c r="K184" s="56" t="s">
        <v>10</v>
      </c>
      <c r="L184" s="56" t="s">
        <v>10</v>
      </c>
      <c r="M184" s="3" t="s">
        <v>14</v>
      </c>
      <c r="N184" s="3" t="s">
        <v>15</v>
      </c>
      <c r="O184" s="3" t="s">
        <v>10</v>
      </c>
    </row>
    <row r="185" spans="1:15" x14ac:dyDescent="0.3">
      <c r="A185" s="77">
        <v>43244</v>
      </c>
      <c r="B185" s="85" t="s">
        <v>535</v>
      </c>
      <c r="C185" s="2" t="s">
        <v>536</v>
      </c>
      <c r="D185" s="3">
        <v>6</v>
      </c>
      <c r="E185" s="9">
        <v>2.0009000000000001</v>
      </c>
      <c r="F185" s="9">
        <v>84.419200000000004</v>
      </c>
      <c r="G185" s="9">
        <v>84.4589</v>
      </c>
      <c r="H185" s="3"/>
      <c r="I185" s="56">
        <f t="shared" si="2"/>
        <v>1.984107151781513</v>
      </c>
      <c r="J185" s="56" t="s">
        <v>10</v>
      </c>
      <c r="K185" s="56" t="s">
        <v>10</v>
      </c>
      <c r="L185" s="56" t="s">
        <v>10</v>
      </c>
      <c r="M185" s="3" t="s">
        <v>14</v>
      </c>
      <c r="N185" s="3" t="s">
        <v>15</v>
      </c>
      <c r="O185" s="3" t="s">
        <v>10</v>
      </c>
    </row>
    <row r="186" spans="1:15" x14ac:dyDescent="0.3">
      <c r="A186" s="77">
        <v>43248</v>
      </c>
      <c r="B186" s="85" t="s">
        <v>524</v>
      </c>
      <c r="C186" s="2" t="s">
        <v>481</v>
      </c>
      <c r="D186" s="3" t="s">
        <v>127</v>
      </c>
      <c r="E186" s="9">
        <v>2.0005000000000002</v>
      </c>
      <c r="F186" s="9">
        <v>88.157899999999998</v>
      </c>
      <c r="G186" s="9">
        <v>88.413899999999998</v>
      </c>
      <c r="H186" s="3"/>
      <c r="I186" s="56">
        <f t="shared" si="2"/>
        <v>12.79680079980006</v>
      </c>
      <c r="J186" s="56" t="s">
        <v>10</v>
      </c>
      <c r="K186" s="56" t="s">
        <v>10</v>
      </c>
      <c r="L186" s="56" t="s">
        <v>10</v>
      </c>
      <c r="M186" s="3" t="s">
        <v>14</v>
      </c>
      <c r="N186" s="3" t="s">
        <v>15</v>
      </c>
      <c r="O186" s="3" t="s">
        <v>10</v>
      </c>
    </row>
    <row r="187" spans="1:15" x14ac:dyDescent="0.3">
      <c r="A187" s="77">
        <v>43244</v>
      </c>
      <c r="B187" s="85" t="s">
        <v>539</v>
      </c>
      <c r="C187" s="2" t="s">
        <v>538</v>
      </c>
      <c r="D187" s="3">
        <v>4</v>
      </c>
      <c r="E187" s="9">
        <v>2.0009000000000001</v>
      </c>
      <c r="F187" s="9">
        <v>93.954599999999999</v>
      </c>
      <c r="G187" s="9">
        <v>94.135999999999996</v>
      </c>
      <c r="H187" s="56" t="e">
        <f>+#REF!</f>
        <v>#REF!</v>
      </c>
      <c r="I187" s="56" t="e">
        <f t="shared" si="2"/>
        <v>#REF!</v>
      </c>
      <c r="J187" s="56" t="s">
        <v>10</v>
      </c>
      <c r="K187" s="56" t="s">
        <v>10</v>
      </c>
      <c r="L187" s="56" t="s">
        <v>10</v>
      </c>
      <c r="M187" s="3" t="s">
        <v>14</v>
      </c>
      <c r="N187" s="3" t="s">
        <v>15</v>
      </c>
      <c r="O187" s="3" t="s">
        <v>10</v>
      </c>
    </row>
    <row r="188" spans="1:15" x14ac:dyDescent="0.3">
      <c r="A188" s="77">
        <v>43245</v>
      </c>
      <c r="B188" s="85" t="s">
        <v>540</v>
      </c>
      <c r="C188" s="2" t="s">
        <v>537</v>
      </c>
      <c r="D188" s="3">
        <v>5</v>
      </c>
      <c r="E188" s="9">
        <v>2.0009000000000001</v>
      </c>
      <c r="F188" s="9">
        <v>88.1584</v>
      </c>
      <c r="G188" s="9">
        <v>88.632800000000003</v>
      </c>
      <c r="H188" s="56" t="e">
        <f>+#REF!</f>
        <v>#REF!</v>
      </c>
      <c r="I188" s="56" t="e">
        <f t="shared" si="2"/>
        <v>#REF!</v>
      </c>
      <c r="J188" s="56" t="s">
        <v>10</v>
      </c>
      <c r="K188" s="56" t="s">
        <v>10</v>
      </c>
      <c r="L188" s="56" t="s">
        <v>10</v>
      </c>
      <c r="M188" s="3" t="s">
        <v>14</v>
      </c>
      <c r="N188" s="3" t="s">
        <v>15</v>
      </c>
      <c r="O188" s="3" t="s">
        <v>10</v>
      </c>
    </row>
    <row r="189" spans="1:15" x14ac:dyDescent="0.3">
      <c r="A189" s="77">
        <v>43246</v>
      </c>
      <c r="B189" s="85" t="s">
        <v>541</v>
      </c>
      <c r="C189" s="2" t="s">
        <v>542</v>
      </c>
      <c r="D189" s="3">
        <v>2</v>
      </c>
      <c r="E189" s="9">
        <v>0.58320000000000005</v>
      </c>
      <c r="F189" s="9">
        <v>86.570099999999996</v>
      </c>
      <c r="G189" s="9">
        <v>86.645300000000006</v>
      </c>
      <c r="H189" s="56" t="e">
        <f>+#REF!</f>
        <v>#REF!</v>
      </c>
      <c r="I189" s="56" t="e">
        <f t="shared" si="2"/>
        <v>#REF!</v>
      </c>
      <c r="J189" s="56" t="s">
        <v>10</v>
      </c>
      <c r="K189" s="56" t="s">
        <v>10</v>
      </c>
      <c r="L189" s="56" t="s">
        <v>10</v>
      </c>
      <c r="M189" s="3" t="s">
        <v>14</v>
      </c>
      <c r="N189" s="3" t="s">
        <v>15</v>
      </c>
      <c r="O189" s="3" t="s">
        <v>10</v>
      </c>
    </row>
    <row r="190" spans="1:15" x14ac:dyDescent="0.3">
      <c r="A190" s="77">
        <v>43247</v>
      </c>
      <c r="B190" s="85" t="s">
        <v>543</v>
      </c>
      <c r="C190" s="2" t="s">
        <v>544</v>
      </c>
      <c r="D190" s="3">
        <v>3</v>
      </c>
      <c r="E190" s="9">
        <v>5.0007000000000001</v>
      </c>
      <c r="F190" s="9">
        <v>88.537999999999997</v>
      </c>
      <c r="G190" s="9">
        <v>90.988799999999998</v>
      </c>
      <c r="H190" s="56" t="e">
        <f>+#REF!</f>
        <v>#REF!</v>
      </c>
      <c r="I190" s="56" t="e">
        <f t="shared" si="2"/>
        <v>#REF!</v>
      </c>
      <c r="J190" s="56" t="s">
        <v>10</v>
      </c>
      <c r="K190" s="56" t="s">
        <v>10</v>
      </c>
      <c r="L190" s="56" t="s">
        <v>10</v>
      </c>
      <c r="M190" s="3" t="s">
        <v>14</v>
      </c>
      <c r="N190" s="3" t="s">
        <v>15</v>
      </c>
      <c r="O190" s="3" t="s">
        <v>10</v>
      </c>
    </row>
    <row r="191" spans="1:15" x14ac:dyDescent="0.3">
      <c r="A191" s="77">
        <v>43253</v>
      </c>
      <c r="B191" s="85" t="s">
        <v>546</v>
      </c>
      <c r="C191" s="2" t="s">
        <v>545</v>
      </c>
      <c r="D191" s="3">
        <v>2</v>
      </c>
      <c r="E191" s="9">
        <v>5.0008999999999997</v>
      </c>
      <c r="F191" s="9">
        <v>87.903599999999997</v>
      </c>
      <c r="G191" s="9">
        <v>91.349599999999995</v>
      </c>
      <c r="H191" s="3"/>
      <c r="I191" s="56">
        <f t="shared" si="2"/>
        <v>68.907596632606101</v>
      </c>
      <c r="J191" s="56" t="s">
        <v>10</v>
      </c>
      <c r="K191" s="56" t="s">
        <v>10</v>
      </c>
      <c r="L191" s="56" t="s">
        <v>10</v>
      </c>
      <c r="M191" s="3" t="s">
        <v>14</v>
      </c>
      <c r="N191" s="3" t="s">
        <v>15</v>
      </c>
      <c r="O191" s="3" t="s">
        <v>10</v>
      </c>
    </row>
    <row r="192" spans="1:15" x14ac:dyDescent="0.3">
      <c r="A192" s="42">
        <v>43248</v>
      </c>
      <c r="B192" s="85" t="s">
        <v>564</v>
      </c>
      <c r="C192" s="2" t="s">
        <v>563</v>
      </c>
      <c r="D192" s="3">
        <v>1</v>
      </c>
      <c r="E192" s="9">
        <v>5.0008999999999997</v>
      </c>
      <c r="F192" s="9">
        <v>88.158900000000003</v>
      </c>
      <c r="G192" s="9">
        <v>88.247699999999995</v>
      </c>
      <c r="H192" s="56" t="e">
        <f>+#REF!</f>
        <v>#REF!</v>
      </c>
      <c r="I192" s="56" t="e">
        <f t="shared" ref="I192:I254" si="3">((G192-F192)/(E192))*100*((100-H192)/100)</f>
        <v>#REF!</v>
      </c>
      <c r="J192" s="56" t="s">
        <v>10</v>
      </c>
      <c r="K192" s="56" t="s">
        <v>10</v>
      </c>
      <c r="L192" s="56" t="s">
        <v>10</v>
      </c>
      <c r="M192" s="3" t="s">
        <v>14</v>
      </c>
      <c r="N192" s="3" t="s">
        <v>15</v>
      </c>
      <c r="O192" s="3" t="s">
        <v>10</v>
      </c>
    </row>
    <row r="193" spans="1:15" x14ac:dyDescent="0.3">
      <c r="A193" s="42">
        <v>43252</v>
      </c>
      <c r="B193" s="85" t="s">
        <v>570</v>
      </c>
      <c r="C193" s="2" t="s">
        <v>569</v>
      </c>
      <c r="D193" s="3">
        <v>3</v>
      </c>
      <c r="E193" s="9">
        <v>5.0008999999999997</v>
      </c>
      <c r="F193" s="9">
        <v>89.490899999999996</v>
      </c>
      <c r="G193" s="9">
        <v>91.79</v>
      </c>
      <c r="H193" s="56" t="e">
        <f>+#REF!</f>
        <v>#REF!</v>
      </c>
      <c r="I193" s="56" t="e">
        <f t="shared" si="3"/>
        <v>#REF!</v>
      </c>
      <c r="J193" s="56" t="s">
        <v>10</v>
      </c>
      <c r="K193" s="56" t="s">
        <v>10</v>
      </c>
      <c r="L193" s="56" t="s">
        <v>10</v>
      </c>
      <c r="M193" s="3" t="s">
        <v>14</v>
      </c>
      <c r="N193" s="3" t="s">
        <v>15</v>
      </c>
      <c r="O193" s="3" t="s">
        <v>10</v>
      </c>
    </row>
    <row r="194" spans="1:15" x14ac:dyDescent="0.3">
      <c r="A194" s="42">
        <v>43257</v>
      </c>
      <c r="B194" s="85" t="s">
        <v>571</v>
      </c>
      <c r="C194" s="2" t="s">
        <v>573</v>
      </c>
      <c r="D194" s="3" t="s">
        <v>127</v>
      </c>
      <c r="E194" s="9">
        <v>4.0000999999999998</v>
      </c>
      <c r="F194" s="9">
        <v>86.567999999999998</v>
      </c>
      <c r="G194" s="9">
        <v>86.9114</v>
      </c>
      <c r="H194" s="3"/>
      <c r="I194" s="56">
        <f t="shared" si="3"/>
        <v>8.5847853803655561</v>
      </c>
      <c r="J194" s="56" t="s">
        <v>10</v>
      </c>
      <c r="K194" s="56" t="s">
        <v>10</v>
      </c>
      <c r="L194" s="56" t="s">
        <v>10</v>
      </c>
      <c r="M194" s="3" t="s">
        <v>14</v>
      </c>
      <c r="N194" s="3" t="s">
        <v>15</v>
      </c>
      <c r="O194" s="3" t="s">
        <v>279</v>
      </c>
    </row>
    <row r="195" spans="1:15" x14ac:dyDescent="0.3">
      <c r="A195" s="42">
        <v>43250</v>
      </c>
      <c r="B195" s="85" t="s">
        <v>572</v>
      </c>
      <c r="C195" s="2" t="s">
        <v>574</v>
      </c>
      <c r="D195" s="3">
        <v>2</v>
      </c>
      <c r="E195" s="9">
        <v>5.0002000000000004</v>
      </c>
      <c r="F195" s="9">
        <v>89.874600000000001</v>
      </c>
      <c r="G195" s="9">
        <v>89.928299999999993</v>
      </c>
      <c r="H195" s="3"/>
      <c r="I195" s="56">
        <f t="shared" si="3"/>
        <v>1.073957041718173</v>
      </c>
      <c r="J195" s="56" t="s">
        <v>10</v>
      </c>
      <c r="K195" s="56" t="s">
        <v>10</v>
      </c>
      <c r="L195" s="56" t="s">
        <v>10</v>
      </c>
      <c r="M195" s="3" t="s">
        <v>14</v>
      </c>
      <c r="N195" s="3" t="s">
        <v>15</v>
      </c>
      <c r="O195" s="3" t="s">
        <v>10</v>
      </c>
    </row>
    <row r="196" spans="1:15" x14ac:dyDescent="0.3">
      <c r="A196" s="42">
        <v>43252</v>
      </c>
      <c r="B196" s="85" t="s">
        <v>575</v>
      </c>
      <c r="C196" s="2" t="s">
        <v>576</v>
      </c>
      <c r="D196" s="3">
        <v>4</v>
      </c>
      <c r="E196" s="9">
        <v>5.0007999999999999</v>
      </c>
      <c r="F196" s="9">
        <v>86.571200000000005</v>
      </c>
      <c r="G196" s="9">
        <v>86.581599999999995</v>
      </c>
      <c r="H196" s="3"/>
      <c r="I196" s="56">
        <f t="shared" si="3"/>
        <v>0.20796672532374766</v>
      </c>
      <c r="J196" s="56" t="s">
        <v>10</v>
      </c>
      <c r="K196" s="56" t="s">
        <v>10</v>
      </c>
      <c r="L196" s="56" t="s">
        <v>10</v>
      </c>
      <c r="M196" s="3" t="s">
        <v>14</v>
      </c>
      <c r="N196" s="3" t="s">
        <v>15</v>
      </c>
      <c r="O196" s="3" t="s">
        <v>10</v>
      </c>
    </row>
    <row r="197" spans="1:15" x14ac:dyDescent="0.3">
      <c r="A197" s="42">
        <v>43256</v>
      </c>
      <c r="B197" s="85" t="s">
        <v>578</v>
      </c>
      <c r="C197" s="2" t="s">
        <v>579</v>
      </c>
      <c r="D197" s="3">
        <v>1</v>
      </c>
      <c r="E197" s="9">
        <v>2.0009000000000001</v>
      </c>
      <c r="F197" s="9">
        <v>86.5946</v>
      </c>
      <c r="G197" s="9">
        <v>86.629300000000001</v>
      </c>
      <c r="H197" s="3"/>
      <c r="I197" s="56">
        <f t="shared" si="3"/>
        <v>1.734219601179511</v>
      </c>
      <c r="J197" s="56" t="s">
        <v>10</v>
      </c>
      <c r="K197" s="56" t="s">
        <v>10</v>
      </c>
      <c r="L197" s="56" t="s">
        <v>10</v>
      </c>
      <c r="M197" s="3" t="s">
        <v>14</v>
      </c>
      <c r="N197" s="3" t="s">
        <v>15</v>
      </c>
      <c r="O197" s="3" t="s">
        <v>10</v>
      </c>
    </row>
    <row r="198" spans="1:15" x14ac:dyDescent="0.3">
      <c r="A198" s="42">
        <v>43256</v>
      </c>
      <c r="B198" s="85" t="s">
        <v>581</v>
      </c>
      <c r="C198" s="2" t="s">
        <v>580</v>
      </c>
      <c r="D198" s="3">
        <v>2</v>
      </c>
      <c r="E198" s="9">
        <v>2.0007000000000001</v>
      </c>
      <c r="F198" s="9">
        <v>88.491900000000001</v>
      </c>
      <c r="G198" s="9">
        <v>88.524199999999993</v>
      </c>
      <c r="H198" s="3"/>
      <c r="I198" s="56">
        <f t="shared" si="3"/>
        <v>1.6144349477678923</v>
      </c>
      <c r="J198" s="56" t="s">
        <v>10</v>
      </c>
      <c r="K198" s="56" t="s">
        <v>10</v>
      </c>
      <c r="L198" s="56" t="s">
        <v>10</v>
      </c>
      <c r="M198" s="3" t="s">
        <v>14</v>
      </c>
      <c r="N198" s="3" t="s">
        <v>15</v>
      </c>
      <c r="O198" s="3" t="s">
        <v>10</v>
      </c>
    </row>
    <row r="199" spans="1:15" x14ac:dyDescent="0.3">
      <c r="A199" s="42">
        <v>43256</v>
      </c>
      <c r="B199" s="85" t="s">
        <v>582</v>
      </c>
      <c r="C199" s="2" t="s">
        <v>583</v>
      </c>
      <c r="D199" s="3">
        <v>3</v>
      </c>
      <c r="E199" s="9">
        <v>5.0000999999999998</v>
      </c>
      <c r="F199" s="9">
        <v>88.539400000000001</v>
      </c>
      <c r="G199" s="9">
        <v>88.964399999999998</v>
      </c>
      <c r="H199" s="3"/>
      <c r="I199" s="56">
        <f t="shared" si="3"/>
        <v>8.4998300033998753</v>
      </c>
      <c r="J199" s="56" t="s">
        <v>10</v>
      </c>
      <c r="K199" s="56" t="s">
        <v>10</v>
      </c>
      <c r="L199" s="56" t="s">
        <v>10</v>
      </c>
      <c r="M199" s="3" t="s">
        <v>14</v>
      </c>
      <c r="N199" s="3" t="s">
        <v>15</v>
      </c>
      <c r="O199" s="3" t="s">
        <v>10</v>
      </c>
    </row>
    <row r="200" spans="1:15" x14ac:dyDescent="0.3">
      <c r="A200" s="42">
        <v>43256</v>
      </c>
      <c r="B200" s="85" t="s">
        <v>584</v>
      </c>
      <c r="C200" s="2" t="s">
        <v>585</v>
      </c>
      <c r="D200" s="3">
        <v>4</v>
      </c>
      <c r="E200" s="9">
        <v>5.0008999999999997</v>
      </c>
      <c r="F200" s="9">
        <v>84.418499999999995</v>
      </c>
      <c r="G200" s="9">
        <v>84.892499999999998</v>
      </c>
      <c r="H200" s="3"/>
      <c r="I200" s="56">
        <f t="shared" si="3"/>
        <v>9.4782939070967984</v>
      </c>
      <c r="J200" s="56" t="s">
        <v>10</v>
      </c>
      <c r="K200" s="56" t="s">
        <v>10</v>
      </c>
      <c r="L200" s="56" t="s">
        <v>10</v>
      </c>
      <c r="M200" s="3" t="s">
        <v>14</v>
      </c>
      <c r="N200" s="3" t="s">
        <v>15</v>
      </c>
      <c r="O200" s="3" t="s">
        <v>10</v>
      </c>
    </row>
    <row r="201" spans="1:15" x14ac:dyDescent="0.3">
      <c r="A201" s="42">
        <v>43264</v>
      </c>
      <c r="B201" s="85" t="s">
        <v>571</v>
      </c>
      <c r="C201" s="2" t="s">
        <v>573</v>
      </c>
      <c r="D201" s="3" t="s">
        <v>127</v>
      </c>
      <c r="E201" s="9">
        <v>4.0007999999999999</v>
      </c>
      <c r="F201" s="9">
        <v>88.492999999999995</v>
      </c>
      <c r="G201" s="9">
        <v>88.836799999999997</v>
      </c>
      <c r="H201" s="3"/>
      <c r="I201" s="56">
        <f t="shared" si="3"/>
        <v>8.5932813437312952</v>
      </c>
      <c r="J201" s="56" t="s">
        <v>10</v>
      </c>
      <c r="K201" s="56" t="s">
        <v>10</v>
      </c>
      <c r="L201" s="56" t="s">
        <v>10</v>
      </c>
      <c r="M201" s="3" t="s">
        <v>14</v>
      </c>
      <c r="N201" s="3" t="s">
        <v>15</v>
      </c>
      <c r="O201" s="3" t="s">
        <v>279</v>
      </c>
    </row>
    <row r="202" spans="1:15" x14ac:dyDescent="0.3">
      <c r="A202" s="42">
        <v>43215</v>
      </c>
      <c r="B202" s="85" t="s">
        <v>592</v>
      </c>
      <c r="C202" s="2" t="s">
        <v>593</v>
      </c>
      <c r="D202" s="3">
        <v>1</v>
      </c>
      <c r="E202" s="9">
        <v>5.0008999999999997</v>
      </c>
      <c r="F202" s="9">
        <v>88.537199999999999</v>
      </c>
      <c r="G202" s="9">
        <v>88.666200000000003</v>
      </c>
      <c r="H202" s="3"/>
      <c r="I202" s="56">
        <f t="shared" si="3"/>
        <v>2.579535683577054</v>
      </c>
      <c r="J202" s="56" t="s">
        <v>10</v>
      </c>
      <c r="K202" s="56" t="s">
        <v>10</v>
      </c>
      <c r="L202" s="56" t="s">
        <v>10</v>
      </c>
      <c r="M202" s="3" t="s">
        <v>14</v>
      </c>
      <c r="N202" s="3" t="s">
        <v>15</v>
      </c>
      <c r="O202" s="3" t="s">
        <v>10</v>
      </c>
    </row>
    <row r="203" spans="1:15" x14ac:dyDescent="0.3">
      <c r="A203" s="42">
        <v>43215</v>
      </c>
      <c r="B203" s="85" t="s">
        <v>594</v>
      </c>
      <c r="C203" s="2" t="s">
        <v>595</v>
      </c>
      <c r="D203" s="3">
        <v>2</v>
      </c>
      <c r="E203" s="9">
        <v>5.0007999999999999</v>
      </c>
      <c r="F203" s="9">
        <v>88.492500000000007</v>
      </c>
      <c r="G203" s="9">
        <v>88.546199999999999</v>
      </c>
      <c r="H203" s="3"/>
      <c r="I203" s="56">
        <f t="shared" si="3"/>
        <v>1.0738281874898434</v>
      </c>
      <c r="J203" s="56" t="s">
        <v>10</v>
      </c>
      <c r="K203" s="56" t="s">
        <v>10</v>
      </c>
      <c r="L203" s="56" t="s">
        <v>10</v>
      </c>
      <c r="M203" s="3" t="s">
        <v>14</v>
      </c>
      <c r="N203" s="3" t="s">
        <v>15</v>
      </c>
      <c r="O203" s="3" t="s">
        <v>10</v>
      </c>
    </row>
    <row r="204" spans="1:15" x14ac:dyDescent="0.3">
      <c r="A204" s="42">
        <v>43220</v>
      </c>
      <c r="B204" s="85" t="s">
        <v>596</v>
      </c>
      <c r="C204" s="2" t="s">
        <v>598</v>
      </c>
      <c r="D204" s="3">
        <v>6</v>
      </c>
      <c r="E204" s="9">
        <v>10.0009</v>
      </c>
      <c r="F204" s="9">
        <v>86.594999999999999</v>
      </c>
      <c r="G204" s="9">
        <v>87.522199999999998</v>
      </c>
      <c r="H204" s="3"/>
      <c r="I204" s="56">
        <f t="shared" si="3"/>
        <v>9.2711655950964325</v>
      </c>
      <c r="J204" s="56" t="s">
        <v>10</v>
      </c>
      <c r="K204" s="56" t="s">
        <v>10</v>
      </c>
      <c r="L204" s="56" t="s">
        <v>10</v>
      </c>
      <c r="M204" s="3" t="s">
        <v>14</v>
      </c>
      <c r="N204" s="3" t="s">
        <v>15</v>
      </c>
      <c r="O204" s="3" t="s">
        <v>10</v>
      </c>
    </row>
    <row r="205" spans="1:15" x14ac:dyDescent="0.3">
      <c r="A205" s="42">
        <v>43222</v>
      </c>
      <c r="B205" s="85" t="s">
        <v>597</v>
      </c>
      <c r="C205" s="2" t="s">
        <v>599</v>
      </c>
      <c r="D205" s="3">
        <v>1</v>
      </c>
      <c r="E205" s="15">
        <v>5.0002000000000004</v>
      </c>
      <c r="F205" s="9">
        <v>88.157499999999999</v>
      </c>
      <c r="G205" s="9">
        <v>88.213399999999993</v>
      </c>
      <c r="H205" s="3"/>
      <c r="I205" s="56">
        <f t="shared" si="3"/>
        <v>1.1179552817886096</v>
      </c>
      <c r="J205" s="56" t="s">
        <v>10</v>
      </c>
      <c r="K205" s="56" t="s">
        <v>10</v>
      </c>
      <c r="L205" s="56" t="s">
        <v>10</v>
      </c>
      <c r="M205" s="3" t="s">
        <v>14</v>
      </c>
      <c r="N205" s="3" t="s">
        <v>15</v>
      </c>
      <c r="O205" s="3" t="s">
        <v>10</v>
      </c>
    </row>
    <row r="206" spans="1:15" x14ac:dyDescent="0.3">
      <c r="A206" s="42">
        <v>43264</v>
      </c>
      <c r="B206" s="85" t="s">
        <v>600</v>
      </c>
      <c r="C206" s="2" t="s">
        <v>601</v>
      </c>
      <c r="D206" s="3">
        <v>1</v>
      </c>
      <c r="E206" s="9">
        <v>5.0004</v>
      </c>
      <c r="F206" s="9">
        <v>89.490799999999993</v>
      </c>
      <c r="G206" s="9">
        <v>89.644199999999998</v>
      </c>
      <c r="H206" s="3"/>
      <c r="I206" s="56">
        <f t="shared" si="3"/>
        <v>3.0677545796337267</v>
      </c>
      <c r="J206" s="56" t="s">
        <v>10</v>
      </c>
      <c r="K206" s="56" t="s">
        <v>10</v>
      </c>
      <c r="L206" s="56" t="s">
        <v>10</v>
      </c>
      <c r="M206" s="3" t="s">
        <v>14</v>
      </c>
      <c r="N206" s="3" t="s">
        <v>15</v>
      </c>
      <c r="O206" s="3" t="s">
        <v>10</v>
      </c>
    </row>
    <row r="207" spans="1:15" x14ac:dyDescent="0.3">
      <c r="A207" s="42">
        <v>43264</v>
      </c>
      <c r="B207" s="85" t="s">
        <v>602</v>
      </c>
      <c r="C207" s="2" t="s">
        <v>603</v>
      </c>
      <c r="D207" s="3">
        <v>2</v>
      </c>
      <c r="E207" s="9">
        <v>5.0008999999999997</v>
      </c>
      <c r="F207" s="9">
        <v>84.419300000000007</v>
      </c>
      <c r="G207" s="9">
        <v>85.133499999999998</v>
      </c>
      <c r="H207" s="3"/>
      <c r="I207" s="56">
        <f t="shared" si="3"/>
        <v>14.281429342718132</v>
      </c>
      <c r="J207" s="56" t="s">
        <v>10</v>
      </c>
      <c r="K207" s="56" t="s">
        <v>10</v>
      </c>
      <c r="L207" s="56" t="s">
        <v>10</v>
      </c>
      <c r="M207" s="3" t="s">
        <v>14</v>
      </c>
      <c r="N207" s="3" t="s">
        <v>15</v>
      </c>
      <c r="O207" s="3" t="s">
        <v>10</v>
      </c>
    </row>
    <row r="208" spans="1:15" ht="2.25" customHeight="1" x14ac:dyDescent="0.3">
      <c r="A208" s="42">
        <v>43269</v>
      </c>
      <c r="B208" s="85" t="s">
        <v>653</v>
      </c>
      <c r="C208" s="2" t="s">
        <v>654</v>
      </c>
      <c r="D208" s="3">
        <v>1</v>
      </c>
      <c r="E208" s="9">
        <v>2.0009000000000001</v>
      </c>
      <c r="F208" s="9">
        <v>84.418999999999997</v>
      </c>
      <c r="G208" s="9">
        <v>84.494799999999998</v>
      </c>
      <c r="H208" s="3"/>
      <c r="I208" s="56">
        <f t="shared" si="3"/>
        <v>3.7882952671298402</v>
      </c>
      <c r="J208" s="56" t="s">
        <v>10</v>
      </c>
      <c r="K208" s="56" t="s">
        <v>10</v>
      </c>
      <c r="L208" s="56" t="s">
        <v>10</v>
      </c>
      <c r="M208" s="3" t="s">
        <v>14</v>
      </c>
      <c r="N208" s="3" t="s">
        <v>15</v>
      </c>
      <c r="O208" s="3" t="s">
        <v>10</v>
      </c>
    </row>
    <row r="209" spans="1:15" x14ac:dyDescent="0.3">
      <c r="A209" s="42">
        <v>43269</v>
      </c>
      <c r="B209" s="85" t="s">
        <v>655</v>
      </c>
      <c r="C209" s="2" t="s">
        <v>656</v>
      </c>
      <c r="D209" s="3">
        <v>3</v>
      </c>
      <c r="E209" s="15">
        <v>2.0009000000000001</v>
      </c>
      <c r="F209" s="9">
        <v>81.912400000000005</v>
      </c>
      <c r="G209" s="9">
        <v>81.953999999999994</v>
      </c>
      <c r="H209" s="3"/>
      <c r="I209" s="56">
        <f t="shared" si="3"/>
        <v>2.0790644210099614</v>
      </c>
      <c r="J209" s="56" t="s">
        <v>10</v>
      </c>
      <c r="K209" s="56" t="s">
        <v>10</v>
      </c>
      <c r="L209" s="56" t="s">
        <v>10</v>
      </c>
      <c r="M209" s="3" t="s">
        <v>14</v>
      </c>
      <c r="N209" s="3" t="s">
        <v>15</v>
      </c>
      <c r="O209" s="3" t="s">
        <v>10</v>
      </c>
    </row>
    <row r="210" spans="1:15" x14ac:dyDescent="0.3">
      <c r="A210" s="42">
        <v>43264</v>
      </c>
      <c r="B210" s="85" t="s">
        <v>644</v>
      </c>
      <c r="C210" s="2" t="s">
        <v>645</v>
      </c>
      <c r="D210" s="3">
        <v>3</v>
      </c>
      <c r="E210" s="15">
        <v>5.0004999999999997</v>
      </c>
      <c r="F210" s="15">
        <v>86.570999999999998</v>
      </c>
      <c r="G210" s="15">
        <v>87.209900000000005</v>
      </c>
      <c r="H210" s="63" t="e">
        <f>+#REF!</f>
        <v>#REF!</v>
      </c>
      <c r="I210" s="63" t="e">
        <f t="shared" si="3"/>
        <v>#REF!</v>
      </c>
      <c r="J210" s="56" t="s">
        <v>10</v>
      </c>
      <c r="K210" s="56" t="s">
        <v>10</v>
      </c>
      <c r="L210" s="56" t="s">
        <v>10</v>
      </c>
      <c r="M210" s="3" t="s">
        <v>14</v>
      </c>
      <c r="N210" s="3" t="s">
        <v>15</v>
      </c>
      <c r="O210" s="3" t="s">
        <v>10</v>
      </c>
    </row>
    <row r="211" spans="1:15" x14ac:dyDescent="0.3">
      <c r="A211" s="42">
        <v>43264</v>
      </c>
      <c r="B211" s="85" t="s">
        <v>647</v>
      </c>
      <c r="C211" s="2" t="s">
        <v>646</v>
      </c>
      <c r="D211" s="3">
        <v>4</v>
      </c>
      <c r="E211" s="15">
        <v>6.0008999999999997</v>
      </c>
      <c r="F211" s="15">
        <v>93.955200000000005</v>
      </c>
      <c r="G211" s="15">
        <v>96.408299999999997</v>
      </c>
      <c r="H211" s="63" t="e">
        <f>+#REF!</f>
        <v>#REF!</v>
      </c>
      <c r="I211" s="63" t="e">
        <f t="shared" si="3"/>
        <v>#REF!</v>
      </c>
      <c r="J211" s="56" t="s">
        <v>10</v>
      </c>
      <c r="K211" s="56" t="s">
        <v>10</v>
      </c>
      <c r="L211" s="56" t="s">
        <v>10</v>
      </c>
      <c r="M211" s="3" t="s">
        <v>14</v>
      </c>
      <c r="N211" s="3" t="s">
        <v>15</v>
      </c>
      <c r="O211" s="3" t="s">
        <v>10</v>
      </c>
    </row>
    <row r="212" spans="1:15" x14ac:dyDescent="0.3">
      <c r="A212" s="42">
        <v>43264</v>
      </c>
      <c r="B212" s="85" t="s">
        <v>649</v>
      </c>
      <c r="C212" s="2" t="s">
        <v>660</v>
      </c>
      <c r="D212" s="3">
        <v>5</v>
      </c>
      <c r="E212" s="15">
        <v>6.0000999999999998</v>
      </c>
      <c r="F212" s="15">
        <v>86.595799999999997</v>
      </c>
      <c r="G212" s="15">
        <v>88.975899999999996</v>
      </c>
      <c r="H212" s="63" t="e">
        <f>+#REF!</f>
        <v>#REF!</v>
      </c>
      <c r="I212" s="63" t="e">
        <f t="shared" si="3"/>
        <v>#REF!</v>
      </c>
      <c r="J212" s="56" t="s">
        <v>10</v>
      </c>
      <c r="K212" s="56" t="s">
        <v>10</v>
      </c>
      <c r="L212" s="56" t="s">
        <v>10</v>
      </c>
      <c r="M212" s="3" t="s">
        <v>14</v>
      </c>
      <c r="N212" s="3" t="s">
        <v>15</v>
      </c>
      <c r="O212" s="3" t="s">
        <v>10</v>
      </c>
    </row>
    <row r="213" spans="1:15" x14ac:dyDescent="0.3">
      <c r="A213" s="42">
        <v>43269</v>
      </c>
      <c r="B213" s="85" t="s">
        <v>647</v>
      </c>
      <c r="C213" s="2" t="s">
        <v>646</v>
      </c>
      <c r="D213" s="3" t="s">
        <v>127</v>
      </c>
      <c r="E213" s="15">
        <v>1.0008999999999999</v>
      </c>
      <c r="F213" s="15">
        <v>86.595500000000001</v>
      </c>
      <c r="G213" s="15">
        <v>86.815700000000007</v>
      </c>
      <c r="H213" s="15"/>
      <c r="I213" s="63">
        <f t="shared" si="3"/>
        <v>22.000199820162404</v>
      </c>
      <c r="J213" s="56" t="s">
        <v>10</v>
      </c>
      <c r="K213" s="56" t="s">
        <v>10</v>
      </c>
      <c r="L213" s="56" t="s">
        <v>10</v>
      </c>
      <c r="M213" s="3" t="s">
        <v>14</v>
      </c>
      <c r="N213" s="3" t="s">
        <v>15</v>
      </c>
      <c r="O213" s="3" t="s">
        <v>279</v>
      </c>
    </row>
    <row r="214" spans="1:15" x14ac:dyDescent="0.3">
      <c r="A214" s="42">
        <v>43271</v>
      </c>
      <c r="B214" s="85" t="s">
        <v>663</v>
      </c>
      <c r="C214" s="2" t="s">
        <v>662</v>
      </c>
      <c r="D214" s="3">
        <v>1</v>
      </c>
      <c r="E214" s="15">
        <v>2.0004</v>
      </c>
      <c r="F214" s="15">
        <v>89.488399999999999</v>
      </c>
      <c r="G214" s="15">
        <v>89.52</v>
      </c>
      <c r="H214" s="15"/>
      <c r="I214" s="63">
        <f t="shared" si="3"/>
        <v>1.5796840631872329</v>
      </c>
      <c r="J214" s="56" t="s">
        <v>10</v>
      </c>
      <c r="K214" s="56" t="s">
        <v>10</v>
      </c>
      <c r="L214" s="56" t="s">
        <v>10</v>
      </c>
      <c r="M214" s="3" t="s">
        <v>14</v>
      </c>
      <c r="N214" s="3" t="s">
        <v>15</v>
      </c>
      <c r="O214" s="3" t="s">
        <v>10</v>
      </c>
    </row>
    <row r="215" spans="1:15" x14ac:dyDescent="0.3">
      <c r="A215" s="42">
        <v>43271</v>
      </c>
      <c r="B215" s="85" t="s">
        <v>664</v>
      </c>
      <c r="C215" s="2" t="s">
        <v>665</v>
      </c>
      <c r="D215" s="3">
        <v>2</v>
      </c>
      <c r="E215" s="15">
        <v>2.0004</v>
      </c>
      <c r="F215" s="15">
        <v>88.156899999999993</v>
      </c>
      <c r="G215" s="15">
        <v>88.186300000000003</v>
      </c>
      <c r="H215" s="15"/>
      <c r="I215" s="63">
        <f t="shared" si="3"/>
        <v>1.4697060587887243</v>
      </c>
      <c r="J215" s="56" t="s">
        <v>10</v>
      </c>
      <c r="K215" s="56" t="s">
        <v>10</v>
      </c>
      <c r="L215" s="56" t="s">
        <v>10</v>
      </c>
      <c r="M215" s="3" t="s">
        <v>14</v>
      </c>
      <c r="N215" s="3" t="s">
        <v>15</v>
      </c>
      <c r="O215" s="3" t="s">
        <v>10</v>
      </c>
    </row>
    <row r="216" spans="1:15" x14ac:dyDescent="0.3">
      <c r="A216" s="42">
        <v>43271</v>
      </c>
      <c r="B216" s="85" t="s">
        <v>664</v>
      </c>
      <c r="C216" s="2" t="s">
        <v>666</v>
      </c>
      <c r="D216" s="3">
        <v>3</v>
      </c>
      <c r="E216" s="15">
        <v>2.0007000000000001</v>
      </c>
      <c r="F216" s="15">
        <v>88.536799999999999</v>
      </c>
      <c r="G216" s="15">
        <v>88.567400000000006</v>
      </c>
      <c r="H216" s="15"/>
      <c r="I216" s="63">
        <f t="shared" si="3"/>
        <v>1.5294646873597662</v>
      </c>
      <c r="J216" s="56" t="s">
        <v>10</v>
      </c>
      <c r="K216" s="56" t="s">
        <v>10</v>
      </c>
      <c r="L216" s="56" t="s">
        <v>10</v>
      </c>
      <c r="M216" s="3" t="s">
        <v>14</v>
      </c>
      <c r="N216" s="3" t="s">
        <v>15</v>
      </c>
      <c r="O216" s="3" t="s">
        <v>10</v>
      </c>
    </row>
    <row r="217" spans="1:15" x14ac:dyDescent="0.3">
      <c r="A217" s="42">
        <v>43272</v>
      </c>
      <c r="B217" s="85" t="s">
        <v>667</v>
      </c>
      <c r="C217" s="2" t="s">
        <v>668</v>
      </c>
      <c r="D217" s="3">
        <v>1</v>
      </c>
      <c r="E217" s="15">
        <v>5.0007999999999999</v>
      </c>
      <c r="F217" s="15">
        <v>88.492400000000004</v>
      </c>
      <c r="G217" s="15">
        <v>88.8202</v>
      </c>
      <c r="H217" s="15"/>
      <c r="I217" s="63">
        <f t="shared" si="3"/>
        <v>6.5549512078066776</v>
      </c>
      <c r="J217" s="56" t="s">
        <v>10</v>
      </c>
      <c r="K217" s="56" t="s">
        <v>10</v>
      </c>
      <c r="L217" s="56" t="s">
        <v>10</v>
      </c>
      <c r="M217" s="3" t="s">
        <v>14</v>
      </c>
      <c r="N217" s="3" t="s">
        <v>15</v>
      </c>
      <c r="O217" s="3" t="s">
        <v>10</v>
      </c>
    </row>
    <row r="218" spans="1:15" x14ac:dyDescent="0.3">
      <c r="A218" s="42">
        <v>43272</v>
      </c>
      <c r="B218" s="85" t="s">
        <v>670</v>
      </c>
      <c r="C218" s="2" t="s">
        <v>669</v>
      </c>
      <c r="D218" s="3">
        <v>2</v>
      </c>
      <c r="E218" s="15">
        <v>5.0007999999999999</v>
      </c>
      <c r="F218" s="15">
        <v>86.569400000000002</v>
      </c>
      <c r="G218" s="15">
        <v>87.108099999999993</v>
      </c>
      <c r="H218" s="15"/>
      <c r="I218" s="63">
        <f t="shared" si="3"/>
        <v>10.772276435770108</v>
      </c>
      <c r="J218" s="56" t="s">
        <v>10</v>
      </c>
      <c r="K218" s="56" t="s">
        <v>10</v>
      </c>
      <c r="L218" s="56" t="s">
        <v>10</v>
      </c>
      <c r="M218" s="3" t="s">
        <v>14</v>
      </c>
      <c r="N218" s="3" t="s">
        <v>15</v>
      </c>
      <c r="O218" s="3" t="s">
        <v>10</v>
      </c>
    </row>
    <row r="219" spans="1:15" x14ac:dyDescent="0.3">
      <c r="A219" s="42">
        <v>43272</v>
      </c>
      <c r="B219" s="85" t="s">
        <v>672</v>
      </c>
      <c r="C219" s="2" t="s">
        <v>671</v>
      </c>
      <c r="D219" s="3">
        <v>3</v>
      </c>
      <c r="E219" s="15">
        <v>5.0008999999999997</v>
      </c>
      <c r="F219" s="15">
        <v>88.157300000000006</v>
      </c>
      <c r="G219" s="15">
        <v>88.580699999999993</v>
      </c>
      <c r="H219" s="15"/>
      <c r="I219" s="63">
        <f t="shared" si="3"/>
        <v>8.4664760343135583</v>
      </c>
      <c r="J219" s="56" t="s">
        <v>10</v>
      </c>
      <c r="K219" s="56" t="s">
        <v>10</v>
      </c>
      <c r="L219" s="56" t="s">
        <v>10</v>
      </c>
      <c r="M219" s="3" t="s">
        <v>14</v>
      </c>
      <c r="N219" s="3" t="s">
        <v>15</v>
      </c>
      <c r="O219" s="3" t="s">
        <v>10</v>
      </c>
    </row>
    <row r="220" spans="1:15" x14ac:dyDescent="0.3">
      <c r="A220" s="42">
        <v>43269</v>
      </c>
      <c r="B220" s="85" t="s">
        <v>673</v>
      </c>
      <c r="C220" s="2" t="s">
        <v>674</v>
      </c>
      <c r="D220" s="3">
        <v>2</v>
      </c>
      <c r="E220" s="15">
        <v>7.0002000000000004</v>
      </c>
      <c r="F220" s="15">
        <v>89.874600000000001</v>
      </c>
      <c r="G220" s="15">
        <v>90.181600000000003</v>
      </c>
      <c r="H220" s="15"/>
      <c r="I220" s="63">
        <f t="shared" si="3"/>
        <v>4.3855889831719397</v>
      </c>
      <c r="J220" s="56" t="s">
        <v>10</v>
      </c>
      <c r="K220" s="56" t="s">
        <v>10</v>
      </c>
      <c r="L220" s="56" t="s">
        <v>10</v>
      </c>
      <c r="M220" s="3" t="s">
        <v>14</v>
      </c>
      <c r="N220" s="3" t="s">
        <v>15</v>
      </c>
      <c r="O220" s="3" t="s">
        <v>10</v>
      </c>
    </row>
    <row r="221" spans="1:15" x14ac:dyDescent="0.3">
      <c r="A221" s="42">
        <v>43276</v>
      </c>
      <c r="B221" s="85" t="s">
        <v>675</v>
      </c>
      <c r="C221" s="2" t="s">
        <v>676</v>
      </c>
      <c r="D221" s="3" t="s">
        <v>127</v>
      </c>
      <c r="E221" s="15">
        <v>2.0009000000000001</v>
      </c>
      <c r="F221" s="15">
        <v>93.953999999999994</v>
      </c>
      <c r="G221" s="15">
        <v>94.100200000000001</v>
      </c>
      <c r="H221" s="15"/>
      <c r="I221" s="63">
        <f t="shared" si="3"/>
        <v>7.3067119796095463</v>
      </c>
      <c r="J221" s="56" t="s">
        <v>10</v>
      </c>
      <c r="K221" s="56" t="s">
        <v>10</v>
      </c>
      <c r="L221" s="56" t="s">
        <v>10</v>
      </c>
      <c r="M221" s="3" t="s">
        <v>14</v>
      </c>
      <c r="N221" s="3" t="s">
        <v>15</v>
      </c>
      <c r="O221" s="3" t="s">
        <v>279</v>
      </c>
    </row>
    <row r="222" spans="1:15" x14ac:dyDescent="0.3">
      <c r="A222" s="42">
        <v>43276</v>
      </c>
      <c r="B222" s="85" t="s">
        <v>677</v>
      </c>
      <c r="C222" s="2" t="s">
        <v>678</v>
      </c>
      <c r="D222" s="3" t="s">
        <v>127</v>
      </c>
      <c r="E222" s="15">
        <v>2.0005000000000002</v>
      </c>
      <c r="F222" s="15">
        <v>86.593199999999996</v>
      </c>
      <c r="G222" s="15">
        <v>86.598200000000006</v>
      </c>
      <c r="H222" s="15"/>
      <c r="I222" s="63">
        <f t="shared" si="3"/>
        <v>0.24993751562157776</v>
      </c>
      <c r="J222" s="56" t="s">
        <v>10</v>
      </c>
      <c r="K222" s="56" t="s">
        <v>10</v>
      </c>
      <c r="L222" s="56" t="s">
        <v>10</v>
      </c>
      <c r="M222" s="3" t="s">
        <v>14</v>
      </c>
      <c r="N222" s="3" t="s">
        <v>15</v>
      </c>
      <c r="O222" s="3" t="s">
        <v>279</v>
      </c>
    </row>
    <row r="223" spans="1:15" x14ac:dyDescent="0.3">
      <c r="A223" s="42">
        <v>43278</v>
      </c>
      <c r="B223" s="85" t="s">
        <v>682</v>
      </c>
      <c r="C223" s="2" t="s">
        <v>683</v>
      </c>
      <c r="D223" s="3">
        <v>6</v>
      </c>
      <c r="E223" s="15">
        <v>5</v>
      </c>
      <c r="F223" s="15">
        <v>84.418899999999994</v>
      </c>
      <c r="G223" s="15">
        <v>88.768299999999996</v>
      </c>
      <c r="H223" s="15"/>
      <c r="I223" s="63">
        <f t="shared" si="3"/>
        <v>86.988000000000056</v>
      </c>
      <c r="J223" s="56" t="s">
        <v>10</v>
      </c>
      <c r="K223" s="56" t="s">
        <v>10</v>
      </c>
      <c r="L223" s="56" t="s">
        <v>10</v>
      </c>
      <c r="M223" s="3" t="s">
        <v>14</v>
      </c>
      <c r="N223" s="3" t="s">
        <v>15</v>
      </c>
      <c r="O223" s="3" t="s">
        <v>10</v>
      </c>
    </row>
    <row r="224" spans="1:15" x14ac:dyDescent="0.3">
      <c r="A224" s="42">
        <v>43278</v>
      </c>
      <c r="B224" s="85" t="s">
        <v>682</v>
      </c>
      <c r="C224" s="2" t="s">
        <v>683</v>
      </c>
      <c r="D224" s="3" t="s">
        <v>127</v>
      </c>
      <c r="E224" s="15">
        <v>1.0003</v>
      </c>
      <c r="F224" s="15">
        <v>93.953900000000004</v>
      </c>
      <c r="G224" s="15">
        <v>94.841700000000003</v>
      </c>
      <c r="H224" s="15"/>
      <c r="I224" s="63">
        <f t="shared" si="3"/>
        <v>88.753373987803514</v>
      </c>
      <c r="J224" s="56" t="s">
        <v>10</v>
      </c>
      <c r="K224" s="56" t="s">
        <v>10</v>
      </c>
      <c r="L224" s="56" t="s">
        <v>10</v>
      </c>
      <c r="M224" s="3" t="s">
        <v>14</v>
      </c>
      <c r="N224" s="3" t="s">
        <v>15</v>
      </c>
      <c r="O224" s="3" t="s">
        <v>279</v>
      </c>
    </row>
    <row r="225" spans="1:15" x14ac:dyDescent="0.3">
      <c r="A225" s="42">
        <v>43276</v>
      </c>
      <c r="B225" s="85" t="s">
        <v>685</v>
      </c>
      <c r="C225" s="2" t="s">
        <v>684</v>
      </c>
      <c r="D225" s="3">
        <v>1</v>
      </c>
      <c r="E225" s="15">
        <v>5.0004</v>
      </c>
      <c r="F225" s="15">
        <v>86.572400000000002</v>
      </c>
      <c r="G225" s="15">
        <v>86.573800000000006</v>
      </c>
      <c r="H225" s="63" t="e">
        <f>+#REF!</f>
        <v>#REF!</v>
      </c>
      <c r="I225" s="63" t="e">
        <f t="shared" si="3"/>
        <v>#REF!</v>
      </c>
      <c r="J225" s="56" t="s">
        <v>10</v>
      </c>
      <c r="K225" s="56" t="s">
        <v>10</v>
      </c>
      <c r="L225" s="56" t="s">
        <v>10</v>
      </c>
      <c r="M225" s="3" t="s">
        <v>14</v>
      </c>
      <c r="N225" s="3" t="s">
        <v>15</v>
      </c>
      <c r="O225" s="3" t="s">
        <v>10</v>
      </c>
    </row>
    <row r="226" spans="1:15" x14ac:dyDescent="0.3">
      <c r="A226" s="42">
        <v>43276</v>
      </c>
      <c r="B226" s="85" t="s">
        <v>687</v>
      </c>
      <c r="C226" s="2" t="s">
        <v>686</v>
      </c>
      <c r="D226" s="3">
        <v>2</v>
      </c>
      <c r="E226" s="15">
        <v>5.0004</v>
      </c>
      <c r="F226" s="15">
        <v>89.873099999999994</v>
      </c>
      <c r="G226" s="15">
        <v>89.875799999999998</v>
      </c>
      <c r="H226" s="63" t="e">
        <f>+#REF!</f>
        <v>#REF!</v>
      </c>
      <c r="I226" s="63" t="e">
        <f t="shared" si="3"/>
        <v>#REF!</v>
      </c>
      <c r="J226" s="56" t="s">
        <v>10</v>
      </c>
      <c r="K226" s="56" t="s">
        <v>10</v>
      </c>
      <c r="L226" s="56" t="s">
        <v>10</v>
      </c>
      <c r="M226" s="3" t="s">
        <v>14</v>
      </c>
      <c r="N226" s="3" t="s">
        <v>15</v>
      </c>
      <c r="O226" s="3" t="s">
        <v>10</v>
      </c>
    </row>
    <row r="227" spans="1:15" x14ac:dyDescent="0.3">
      <c r="A227" s="42">
        <v>43276</v>
      </c>
      <c r="B227" s="85" t="s">
        <v>689</v>
      </c>
      <c r="C227" s="2" t="s">
        <v>688</v>
      </c>
      <c r="D227" s="3">
        <v>3</v>
      </c>
      <c r="E227" s="15">
        <v>5.0008999999999997</v>
      </c>
      <c r="F227" s="15">
        <v>88.538700000000006</v>
      </c>
      <c r="G227" s="15">
        <v>88.541700000000006</v>
      </c>
      <c r="H227" s="63" t="e">
        <f>+#REF!</f>
        <v>#REF!</v>
      </c>
      <c r="I227" s="63" t="e">
        <f t="shared" si="3"/>
        <v>#REF!</v>
      </c>
      <c r="J227" s="56" t="s">
        <v>10</v>
      </c>
      <c r="K227" s="56" t="s">
        <v>10</v>
      </c>
      <c r="L227" s="56" t="s">
        <v>10</v>
      </c>
      <c r="M227" s="3" t="s">
        <v>14</v>
      </c>
      <c r="N227" s="3" t="s">
        <v>15</v>
      </c>
      <c r="O227" s="3" t="s">
        <v>10</v>
      </c>
    </row>
    <row r="228" spans="1:15" x14ac:dyDescent="0.3">
      <c r="A228" s="42">
        <v>43276</v>
      </c>
      <c r="B228" s="85" t="s">
        <v>691</v>
      </c>
      <c r="C228" s="2" t="s">
        <v>690</v>
      </c>
      <c r="D228" s="3">
        <v>4</v>
      </c>
      <c r="E228" s="15">
        <v>5.0000999999999998</v>
      </c>
      <c r="F228" s="15">
        <v>88.494399999999999</v>
      </c>
      <c r="G228" s="15">
        <v>88.505200000000002</v>
      </c>
      <c r="H228" s="63" t="e">
        <f>+#REF!</f>
        <v>#REF!</v>
      </c>
      <c r="I228" s="63" t="e">
        <f t="shared" si="3"/>
        <v>#REF!</v>
      </c>
      <c r="J228" s="56" t="s">
        <v>10</v>
      </c>
      <c r="K228" s="56" t="s">
        <v>10</v>
      </c>
      <c r="L228" s="56" t="s">
        <v>10</v>
      </c>
      <c r="M228" s="3" t="s">
        <v>14</v>
      </c>
      <c r="N228" s="3" t="s">
        <v>15</v>
      </c>
      <c r="O228" s="3" t="s">
        <v>10</v>
      </c>
    </row>
    <row r="229" spans="1:15" x14ac:dyDescent="0.3">
      <c r="A229" s="42">
        <v>43276</v>
      </c>
      <c r="B229" s="85" t="s">
        <v>692</v>
      </c>
      <c r="C229" s="2" t="s">
        <v>693</v>
      </c>
      <c r="D229" s="3">
        <v>5</v>
      </c>
      <c r="E229" s="15">
        <v>5.0002000000000004</v>
      </c>
      <c r="F229" s="15">
        <v>88.158699999999996</v>
      </c>
      <c r="G229" s="15">
        <v>88.159199999999998</v>
      </c>
      <c r="H229" s="63" t="e">
        <f>+#REF!</f>
        <v>#REF!</v>
      </c>
      <c r="I229" s="63" t="e">
        <f t="shared" si="3"/>
        <v>#REF!</v>
      </c>
      <c r="J229" s="56" t="s">
        <v>10</v>
      </c>
      <c r="K229" s="56" t="s">
        <v>10</v>
      </c>
      <c r="L229" s="56" t="s">
        <v>10</v>
      </c>
      <c r="M229" s="3" t="s">
        <v>14</v>
      </c>
      <c r="N229" s="3" t="s">
        <v>15</v>
      </c>
      <c r="O229" s="3" t="s">
        <v>10</v>
      </c>
    </row>
    <row r="230" spans="1:15" x14ac:dyDescent="0.3">
      <c r="A230" s="42">
        <v>43276</v>
      </c>
      <c r="B230" s="85" t="s">
        <v>694</v>
      </c>
      <c r="C230" s="2" t="s">
        <v>695</v>
      </c>
      <c r="D230" s="3">
        <v>6</v>
      </c>
      <c r="E230" s="15">
        <v>5.0008999999999997</v>
      </c>
      <c r="F230" s="15">
        <v>84.418499999999995</v>
      </c>
      <c r="G230" s="15">
        <v>84.427099999999996</v>
      </c>
      <c r="H230" s="63" t="e">
        <f>+#REF!</f>
        <v>#REF!</v>
      </c>
      <c r="I230" s="63" t="e">
        <f t="shared" si="3"/>
        <v>#REF!</v>
      </c>
      <c r="J230" s="56" t="s">
        <v>10</v>
      </c>
      <c r="K230" s="56" t="s">
        <v>10</v>
      </c>
      <c r="L230" s="56" t="s">
        <v>10</v>
      </c>
      <c r="M230" s="3" t="s">
        <v>14</v>
      </c>
      <c r="N230" s="3" t="s">
        <v>15</v>
      </c>
      <c r="O230" s="3" t="s">
        <v>10</v>
      </c>
    </row>
    <row r="231" spans="1:15" x14ac:dyDescent="0.3">
      <c r="A231" s="42">
        <v>43278</v>
      </c>
      <c r="B231" s="85" t="s">
        <v>697</v>
      </c>
      <c r="C231" s="2" t="s">
        <v>696</v>
      </c>
      <c r="D231" s="3">
        <v>1</v>
      </c>
      <c r="E231" s="15">
        <v>0.40060000000000001</v>
      </c>
      <c r="F231" s="15">
        <v>86.5702</v>
      </c>
      <c r="G231" s="15">
        <v>86.572299999999998</v>
      </c>
      <c r="H231" s="63" t="e">
        <f>+#REF!</f>
        <v>#REF!</v>
      </c>
      <c r="I231" s="63" t="e">
        <f t="shared" si="3"/>
        <v>#REF!</v>
      </c>
      <c r="J231" s="56" t="s">
        <v>10</v>
      </c>
      <c r="K231" s="56" t="s">
        <v>10</v>
      </c>
      <c r="L231" s="56" t="s">
        <v>10</v>
      </c>
      <c r="M231" s="3" t="s">
        <v>14</v>
      </c>
      <c r="N231" s="3" t="s">
        <v>15</v>
      </c>
      <c r="O231" s="3" t="s">
        <v>10</v>
      </c>
    </row>
    <row r="232" spans="1:15" x14ac:dyDescent="0.3">
      <c r="A232" s="42">
        <v>43278</v>
      </c>
      <c r="B232" s="85" t="s">
        <v>698</v>
      </c>
      <c r="C232" s="2" t="s">
        <v>699</v>
      </c>
      <c r="D232" s="3">
        <v>2</v>
      </c>
      <c r="E232" s="15">
        <v>1.1001000000000001</v>
      </c>
      <c r="F232" s="15">
        <v>89.873099999999994</v>
      </c>
      <c r="G232" s="15">
        <v>89.874099999999999</v>
      </c>
      <c r="H232" s="63" t="e">
        <f>+#REF!</f>
        <v>#REF!</v>
      </c>
      <c r="I232" s="63" t="e">
        <f t="shared" si="3"/>
        <v>#REF!</v>
      </c>
      <c r="J232" s="56" t="s">
        <v>10</v>
      </c>
      <c r="K232" s="56" t="s">
        <v>10</v>
      </c>
      <c r="L232" s="56" t="s">
        <v>10</v>
      </c>
      <c r="M232" s="3" t="s">
        <v>14</v>
      </c>
      <c r="N232" s="3" t="s">
        <v>15</v>
      </c>
      <c r="O232" s="3" t="s">
        <v>10</v>
      </c>
    </row>
    <row r="233" spans="1:15" x14ac:dyDescent="0.3">
      <c r="A233" s="42">
        <v>43278</v>
      </c>
      <c r="B233" s="85" t="s">
        <v>701</v>
      </c>
      <c r="C233" s="2" t="s">
        <v>700</v>
      </c>
      <c r="D233" s="3">
        <v>3</v>
      </c>
      <c r="E233" s="15">
        <v>2.0007000000000001</v>
      </c>
      <c r="F233" s="15">
        <v>81.912400000000005</v>
      </c>
      <c r="G233" s="15">
        <v>81.9131</v>
      </c>
      <c r="H233" s="63" t="e">
        <f>+#REF!</f>
        <v>#REF!</v>
      </c>
      <c r="I233" s="63" t="e">
        <f t="shared" si="3"/>
        <v>#REF!</v>
      </c>
      <c r="J233" s="56" t="s">
        <v>10</v>
      </c>
      <c r="K233" s="56" t="s">
        <v>10</v>
      </c>
      <c r="L233" s="56" t="s">
        <v>10</v>
      </c>
      <c r="M233" s="3" t="s">
        <v>14</v>
      </c>
      <c r="N233" s="3" t="s">
        <v>15</v>
      </c>
      <c r="O233" s="3" t="s">
        <v>10</v>
      </c>
    </row>
    <row r="234" spans="1:15" x14ac:dyDescent="0.3">
      <c r="A234" s="42">
        <v>43279</v>
      </c>
      <c r="B234" s="85" t="s">
        <v>704</v>
      </c>
      <c r="C234" s="2" t="s">
        <v>703</v>
      </c>
      <c r="D234" s="3">
        <v>6</v>
      </c>
      <c r="E234" s="15">
        <v>2.0009000000000001</v>
      </c>
      <c r="F234" s="15">
        <v>89.873999999999995</v>
      </c>
      <c r="G234" s="15">
        <v>89.935000000000002</v>
      </c>
      <c r="H234" s="63"/>
      <c r="I234" s="63">
        <f t="shared" si="3"/>
        <v>3.0486281173475458</v>
      </c>
      <c r="J234" s="56" t="s">
        <v>10</v>
      </c>
      <c r="K234" s="56" t="s">
        <v>10</v>
      </c>
      <c r="L234" s="56" t="s">
        <v>10</v>
      </c>
      <c r="M234" s="3" t="s">
        <v>702</v>
      </c>
      <c r="N234" s="3" t="s">
        <v>15</v>
      </c>
      <c r="O234" s="3" t="s">
        <v>10</v>
      </c>
    </row>
    <row r="235" spans="1:15" x14ac:dyDescent="0.3">
      <c r="A235" s="42">
        <v>43278</v>
      </c>
      <c r="B235" s="85" t="s">
        <v>706</v>
      </c>
      <c r="C235" s="2" t="s">
        <v>705</v>
      </c>
      <c r="D235" s="3">
        <v>4</v>
      </c>
      <c r="E235" s="15">
        <v>5.0000999999999998</v>
      </c>
      <c r="F235" s="15">
        <v>88.537400000000005</v>
      </c>
      <c r="G235" s="15">
        <v>88.891199999999998</v>
      </c>
      <c r="H235" s="15"/>
      <c r="I235" s="63">
        <f t="shared" si="3"/>
        <v>7.0758584828301956</v>
      </c>
      <c r="J235" s="56" t="s">
        <v>10</v>
      </c>
      <c r="K235" s="56" t="s">
        <v>10</v>
      </c>
      <c r="L235" s="56" t="s">
        <v>10</v>
      </c>
      <c r="M235" s="3" t="s">
        <v>702</v>
      </c>
      <c r="N235" s="3" t="s">
        <v>15</v>
      </c>
      <c r="O235" s="3" t="s">
        <v>10</v>
      </c>
    </row>
    <row r="236" spans="1:15" x14ac:dyDescent="0.3">
      <c r="A236" s="42">
        <v>43278</v>
      </c>
      <c r="B236" s="85" t="s">
        <v>707</v>
      </c>
      <c r="C236" s="2" t="s">
        <v>708</v>
      </c>
      <c r="D236" s="3">
        <v>5</v>
      </c>
      <c r="E236" s="15">
        <v>5.0003000000000002</v>
      </c>
      <c r="F236" s="15">
        <v>86.5946</v>
      </c>
      <c r="G236" s="15">
        <v>87.009699999999995</v>
      </c>
      <c r="H236" s="15"/>
      <c r="I236" s="63">
        <f t="shared" si="3"/>
        <v>8.3015019098853138</v>
      </c>
      <c r="J236" s="56" t="s">
        <v>10</v>
      </c>
      <c r="K236" s="56" t="s">
        <v>10</v>
      </c>
      <c r="L236" s="56" t="s">
        <v>10</v>
      </c>
      <c r="M236" s="3" t="s">
        <v>702</v>
      </c>
      <c r="N236" s="3" t="s">
        <v>15</v>
      </c>
      <c r="O236" s="3" t="s">
        <v>10</v>
      </c>
    </row>
    <row r="237" spans="1:15" x14ac:dyDescent="0.3">
      <c r="A237" s="42">
        <v>43279</v>
      </c>
      <c r="B237" s="85" t="s">
        <v>709</v>
      </c>
      <c r="C237" s="2" t="s">
        <v>711</v>
      </c>
      <c r="D237" s="3">
        <v>1</v>
      </c>
      <c r="E237" s="15">
        <v>5.0007999999999999</v>
      </c>
      <c r="F237" s="15">
        <v>89.491699999999994</v>
      </c>
      <c r="G237" s="15">
        <v>89.8523</v>
      </c>
      <c r="H237" s="15"/>
      <c r="I237" s="63">
        <f t="shared" si="3"/>
        <v>7.2108462645977669</v>
      </c>
      <c r="J237" s="56" t="s">
        <v>10</v>
      </c>
      <c r="K237" s="56" t="s">
        <v>10</v>
      </c>
      <c r="L237" s="56" t="s">
        <v>10</v>
      </c>
      <c r="M237" s="3" t="s">
        <v>702</v>
      </c>
      <c r="N237" s="3" t="s">
        <v>15</v>
      </c>
      <c r="O237" s="3" t="s">
        <v>10</v>
      </c>
    </row>
    <row r="238" spans="1:15" x14ac:dyDescent="0.3">
      <c r="A238" s="42">
        <v>43279</v>
      </c>
      <c r="B238" s="85" t="s">
        <v>720</v>
      </c>
      <c r="C238" s="2" t="s">
        <v>712</v>
      </c>
      <c r="D238" s="3">
        <v>2</v>
      </c>
      <c r="E238" s="15">
        <v>5.0007999999999999</v>
      </c>
      <c r="F238" s="15">
        <v>86.571899999999999</v>
      </c>
      <c r="G238" s="15">
        <v>86.834800000000001</v>
      </c>
      <c r="H238" s="15"/>
      <c r="I238" s="63">
        <f t="shared" si="3"/>
        <v>5.257158854583305</v>
      </c>
      <c r="J238" s="56" t="s">
        <v>10</v>
      </c>
      <c r="K238" s="56" t="s">
        <v>10</v>
      </c>
      <c r="L238" s="56" t="s">
        <v>10</v>
      </c>
      <c r="M238" s="3" t="s">
        <v>702</v>
      </c>
      <c r="N238" s="3" t="s">
        <v>15</v>
      </c>
      <c r="O238" s="3" t="s">
        <v>10</v>
      </c>
    </row>
    <row r="239" spans="1:15" x14ac:dyDescent="0.3">
      <c r="A239" s="42">
        <v>43279</v>
      </c>
      <c r="B239" s="85" t="s">
        <v>710</v>
      </c>
      <c r="C239" s="2" t="s">
        <v>713</v>
      </c>
      <c r="D239" s="3">
        <v>3</v>
      </c>
      <c r="E239" s="15">
        <v>5.0007999999999999</v>
      </c>
      <c r="F239" s="15">
        <v>84.418300000000002</v>
      </c>
      <c r="G239" s="15">
        <v>84.765500000000003</v>
      </c>
      <c r="H239" s="15"/>
      <c r="I239" s="63">
        <f t="shared" si="3"/>
        <v>6.9428891377379784</v>
      </c>
      <c r="J239" s="56" t="s">
        <v>10</v>
      </c>
      <c r="K239" s="56" t="s">
        <v>10</v>
      </c>
      <c r="L239" s="56" t="s">
        <v>10</v>
      </c>
      <c r="M239" s="3" t="s">
        <v>702</v>
      </c>
      <c r="N239" s="3" t="s">
        <v>15</v>
      </c>
      <c r="O239" s="3" t="s">
        <v>10</v>
      </c>
    </row>
    <row r="240" spans="1:15" x14ac:dyDescent="0.3">
      <c r="A240" s="42">
        <v>43280</v>
      </c>
      <c r="B240" s="85" t="s">
        <v>715</v>
      </c>
      <c r="C240" s="2" t="s">
        <v>714</v>
      </c>
      <c r="D240" s="3">
        <v>2</v>
      </c>
      <c r="E240" s="15">
        <v>2.0002</v>
      </c>
      <c r="F240" s="15">
        <v>86.580200000000005</v>
      </c>
      <c r="G240" s="15">
        <v>86.590699999999998</v>
      </c>
      <c r="H240" s="15"/>
      <c r="I240" s="63">
        <f t="shared" si="3"/>
        <v>0.5249475052491398</v>
      </c>
      <c r="J240" s="56" t="s">
        <v>10</v>
      </c>
      <c r="K240" s="56" t="s">
        <v>10</v>
      </c>
      <c r="L240" s="56" t="s">
        <v>10</v>
      </c>
      <c r="M240" s="3" t="s">
        <v>702</v>
      </c>
      <c r="N240" s="3" t="s">
        <v>15</v>
      </c>
      <c r="O240" s="3" t="s">
        <v>10</v>
      </c>
    </row>
    <row r="241" spans="1:15" x14ac:dyDescent="0.3">
      <c r="A241" s="42">
        <v>43280</v>
      </c>
      <c r="B241" s="85" t="s">
        <v>717</v>
      </c>
      <c r="C241" s="2" t="s">
        <v>716</v>
      </c>
      <c r="D241" s="3">
        <v>3</v>
      </c>
      <c r="E241" s="15">
        <v>2.0007000000000001</v>
      </c>
      <c r="F241" s="15">
        <v>86.598500000000001</v>
      </c>
      <c r="G241" s="15">
        <v>86.61</v>
      </c>
      <c r="H241" s="15"/>
      <c r="I241" s="63">
        <f t="shared" si="3"/>
        <v>0.57479882041275887</v>
      </c>
      <c r="J241" s="56" t="s">
        <v>10</v>
      </c>
      <c r="K241" s="56" t="s">
        <v>10</v>
      </c>
      <c r="L241" s="56" t="s">
        <v>10</v>
      </c>
      <c r="M241" s="3" t="s">
        <v>702</v>
      </c>
      <c r="N241" s="3" t="s">
        <v>15</v>
      </c>
      <c r="O241" s="3" t="s">
        <v>10</v>
      </c>
    </row>
    <row r="242" spans="1:15" x14ac:dyDescent="0.3">
      <c r="A242" s="42">
        <v>43280</v>
      </c>
      <c r="B242" s="85" t="s">
        <v>718</v>
      </c>
      <c r="C242" s="2" t="s">
        <v>719</v>
      </c>
      <c r="D242" s="3">
        <v>4</v>
      </c>
      <c r="E242" s="15">
        <v>2.0009000000000001</v>
      </c>
      <c r="F242" s="15">
        <v>88.541200000000003</v>
      </c>
      <c r="G242" s="15">
        <v>88.552400000000006</v>
      </c>
      <c r="H242" s="15"/>
      <c r="I242" s="63">
        <f t="shared" si="3"/>
        <v>0.5597481133491089</v>
      </c>
      <c r="J242" s="56" t="s">
        <v>10</v>
      </c>
      <c r="K242" s="56" t="s">
        <v>10</v>
      </c>
      <c r="L242" s="56" t="s">
        <v>10</v>
      </c>
      <c r="M242" s="3" t="s">
        <v>702</v>
      </c>
      <c r="N242" s="3" t="s">
        <v>15</v>
      </c>
      <c r="O242" s="3" t="s">
        <v>10</v>
      </c>
    </row>
    <row r="243" spans="1:15" x14ac:dyDescent="0.3">
      <c r="A243" s="76">
        <v>43279</v>
      </c>
      <c r="B243" s="88" t="s">
        <v>726</v>
      </c>
      <c r="C243" s="2" t="s">
        <v>727</v>
      </c>
      <c r="D243" s="3">
        <v>1</v>
      </c>
      <c r="E243" s="15">
        <v>2.0002</v>
      </c>
      <c r="F243" s="15">
        <v>84.4221</v>
      </c>
      <c r="G243" s="15">
        <v>84.498199999999997</v>
      </c>
      <c r="H243" s="15"/>
      <c r="I243" s="63">
        <f t="shared" si="3"/>
        <v>3.8046195380460315</v>
      </c>
      <c r="J243" s="56" t="s">
        <v>10</v>
      </c>
      <c r="K243" s="56" t="s">
        <v>10</v>
      </c>
      <c r="L243" s="56" t="s">
        <v>10</v>
      </c>
      <c r="M243" s="3" t="s">
        <v>702</v>
      </c>
      <c r="N243" s="3" t="s">
        <v>15</v>
      </c>
      <c r="O243" s="3" t="s">
        <v>10</v>
      </c>
    </row>
    <row r="244" spans="1:15" x14ac:dyDescent="0.3">
      <c r="A244" s="42">
        <v>43279</v>
      </c>
      <c r="B244" s="85" t="s">
        <v>757</v>
      </c>
      <c r="C244" s="2" t="s">
        <v>765</v>
      </c>
      <c r="D244" s="3">
        <v>4</v>
      </c>
      <c r="E244" s="15">
        <v>5.0000999999999998</v>
      </c>
      <c r="F244" s="15">
        <v>86.595299999999995</v>
      </c>
      <c r="G244" s="15">
        <v>88.430700000000002</v>
      </c>
      <c r="H244" s="15"/>
      <c r="I244" s="63">
        <f t="shared" si="3"/>
        <v>36.707265854683044</v>
      </c>
      <c r="J244" s="56" t="s">
        <v>10</v>
      </c>
      <c r="K244" s="56" t="s">
        <v>10</v>
      </c>
      <c r="L244" s="56" t="s">
        <v>10</v>
      </c>
      <c r="M244" s="3" t="s">
        <v>702</v>
      </c>
      <c r="N244" s="3" t="s">
        <v>15</v>
      </c>
      <c r="O244" s="3" t="s">
        <v>10</v>
      </c>
    </row>
    <row r="245" spans="1:15" x14ac:dyDescent="0.3">
      <c r="A245" s="42">
        <v>43279</v>
      </c>
      <c r="B245" s="85" t="s">
        <v>758</v>
      </c>
      <c r="C245" s="2" t="s">
        <v>766</v>
      </c>
      <c r="D245" s="3">
        <v>5</v>
      </c>
      <c r="E245" s="15">
        <v>5.0004999999999997</v>
      </c>
      <c r="F245" s="15">
        <v>88.5381</v>
      </c>
      <c r="G245" s="15">
        <v>90.586699999999993</v>
      </c>
      <c r="H245" s="15"/>
      <c r="I245" s="63">
        <f t="shared" si="3"/>
        <v>40.967903209678902</v>
      </c>
      <c r="J245" s="56" t="s">
        <v>10</v>
      </c>
      <c r="K245" s="56" t="s">
        <v>10</v>
      </c>
      <c r="L245" s="56" t="s">
        <v>10</v>
      </c>
      <c r="M245" s="3" t="s">
        <v>702</v>
      </c>
      <c r="N245" s="3" t="s">
        <v>15</v>
      </c>
      <c r="O245" s="3" t="s">
        <v>10</v>
      </c>
    </row>
    <row r="246" spans="1:15" x14ac:dyDescent="0.3">
      <c r="A246" s="42">
        <v>43280</v>
      </c>
      <c r="B246" s="85" t="s">
        <v>736</v>
      </c>
      <c r="C246" s="2" t="s">
        <v>737</v>
      </c>
      <c r="D246" s="3">
        <v>1</v>
      </c>
      <c r="E246" s="15">
        <v>5.0000999999999998</v>
      </c>
      <c r="F246" s="15">
        <v>89.872600000000006</v>
      </c>
      <c r="G246" s="15">
        <v>90.29</v>
      </c>
      <c r="H246" s="15"/>
      <c r="I246" s="63">
        <f t="shared" si="3"/>
        <v>8.347833043339147</v>
      </c>
      <c r="J246" s="56" t="s">
        <v>10</v>
      </c>
      <c r="K246" s="56" t="s">
        <v>10</v>
      </c>
      <c r="L246" s="56" t="s">
        <v>10</v>
      </c>
      <c r="M246" s="3" t="s">
        <v>702</v>
      </c>
      <c r="N246" s="3" t="s">
        <v>15</v>
      </c>
      <c r="O246" s="3" t="s">
        <v>10</v>
      </c>
    </row>
    <row r="247" spans="1:15" x14ac:dyDescent="0.3">
      <c r="A247" s="42">
        <v>43280</v>
      </c>
      <c r="B247" s="85" t="s">
        <v>738</v>
      </c>
      <c r="C247" s="2" t="s">
        <v>739</v>
      </c>
      <c r="D247" s="3">
        <v>2</v>
      </c>
      <c r="E247" s="15">
        <v>5.0003000000000002</v>
      </c>
      <c r="F247" s="15">
        <v>89.489199999999997</v>
      </c>
      <c r="G247" s="15">
        <v>89.512200000000007</v>
      </c>
      <c r="H247" s="15"/>
      <c r="I247" s="63">
        <f t="shared" si="3"/>
        <v>0.45997240165610748</v>
      </c>
      <c r="J247" s="56" t="s">
        <v>10</v>
      </c>
      <c r="K247" s="56" t="s">
        <v>10</v>
      </c>
      <c r="L247" s="56" t="s">
        <v>10</v>
      </c>
      <c r="M247" s="3" t="s">
        <v>702</v>
      </c>
      <c r="N247" s="3" t="s">
        <v>15</v>
      </c>
      <c r="O247" s="3" t="s">
        <v>10</v>
      </c>
    </row>
    <row r="248" spans="1:15" x14ac:dyDescent="0.3">
      <c r="A248" s="42">
        <v>43286</v>
      </c>
      <c r="B248" s="85" t="s">
        <v>749</v>
      </c>
      <c r="C248" s="2" t="s">
        <v>759</v>
      </c>
      <c r="D248" s="3">
        <v>1</v>
      </c>
      <c r="E248" s="15">
        <v>5.0004</v>
      </c>
      <c r="F248" s="15">
        <v>89.873900000000006</v>
      </c>
      <c r="G248" s="15">
        <v>90.156300000000002</v>
      </c>
      <c r="H248" s="63" t="e">
        <f>+#REF!</f>
        <v>#REF!</v>
      </c>
      <c r="I248" s="63" t="e">
        <f t="shared" si="3"/>
        <v>#REF!</v>
      </c>
      <c r="J248" s="56" t="s">
        <v>10</v>
      </c>
      <c r="K248" s="56" t="s">
        <v>10</v>
      </c>
      <c r="L248" s="56" t="s">
        <v>10</v>
      </c>
      <c r="M248" s="3" t="s">
        <v>702</v>
      </c>
      <c r="N248" s="3" t="s">
        <v>15</v>
      </c>
      <c r="O248" s="3" t="s">
        <v>10</v>
      </c>
    </row>
    <row r="249" spans="1:15" x14ac:dyDescent="0.3">
      <c r="A249" s="42">
        <v>43286</v>
      </c>
      <c r="B249" s="85" t="s">
        <v>750</v>
      </c>
      <c r="C249" s="2" t="s">
        <v>760</v>
      </c>
      <c r="D249" s="3">
        <v>2</v>
      </c>
      <c r="E249" s="15">
        <v>5.0004999999999997</v>
      </c>
      <c r="F249" s="15">
        <v>89.490499999999997</v>
      </c>
      <c r="G249" s="15">
        <v>89.743799999999993</v>
      </c>
      <c r="H249" s="63" t="e">
        <f>+#REF!</f>
        <v>#REF!</v>
      </c>
      <c r="I249" s="63" t="e">
        <f t="shared" si="3"/>
        <v>#REF!</v>
      </c>
      <c r="J249" s="56" t="s">
        <v>10</v>
      </c>
      <c r="K249" s="56" t="s">
        <v>10</v>
      </c>
      <c r="L249" s="56" t="s">
        <v>10</v>
      </c>
      <c r="M249" s="3" t="s">
        <v>702</v>
      </c>
      <c r="N249" s="3" t="s">
        <v>15</v>
      </c>
      <c r="O249" s="3" t="s">
        <v>10</v>
      </c>
    </row>
    <row r="250" spans="1:15" x14ac:dyDescent="0.3">
      <c r="A250" s="42">
        <v>43286</v>
      </c>
      <c r="B250" s="85" t="s">
        <v>751</v>
      </c>
      <c r="C250" s="2" t="s">
        <v>760</v>
      </c>
      <c r="D250" s="3">
        <v>3</v>
      </c>
      <c r="E250" s="15">
        <v>5.0007999999999999</v>
      </c>
      <c r="F250" s="15">
        <v>88.537999999999997</v>
      </c>
      <c r="G250" s="15">
        <v>88.815299999999993</v>
      </c>
      <c r="H250" s="63" t="e">
        <f>+#REF!</f>
        <v>#REF!</v>
      </c>
      <c r="I250" s="63" t="e">
        <f t="shared" si="3"/>
        <v>#REF!</v>
      </c>
      <c r="J250" s="56" t="s">
        <v>10</v>
      </c>
      <c r="K250" s="56" t="s">
        <v>10</v>
      </c>
      <c r="L250" s="56" t="s">
        <v>10</v>
      </c>
      <c r="M250" s="3" t="s">
        <v>702</v>
      </c>
      <c r="N250" s="3" t="s">
        <v>15</v>
      </c>
      <c r="O250" s="3" t="s">
        <v>10</v>
      </c>
    </row>
    <row r="251" spans="1:15" x14ac:dyDescent="0.3">
      <c r="A251" s="42">
        <v>43286</v>
      </c>
      <c r="B251" s="85" t="s">
        <v>752</v>
      </c>
      <c r="C251" s="2" t="s">
        <v>755</v>
      </c>
      <c r="D251" s="3">
        <v>4</v>
      </c>
      <c r="E251" s="15">
        <v>5.0003000000000002</v>
      </c>
      <c r="F251" s="15">
        <v>86.596699999999998</v>
      </c>
      <c r="G251" s="15">
        <v>86.882199999999997</v>
      </c>
      <c r="H251" s="63" t="e">
        <f>+#REF!</f>
        <v>#REF!</v>
      </c>
      <c r="I251" s="63" t="e">
        <f t="shared" si="3"/>
        <v>#REF!</v>
      </c>
      <c r="J251" s="56" t="s">
        <v>10</v>
      </c>
      <c r="K251" s="56" t="s">
        <v>10</v>
      </c>
      <c r="L251" s="56" t="s">
        <v>10</v>
      </c>
      <c r="M251" s="3" t="s">
        <v>702</v>
      </c>
      <c r="N251" s="3" t="s">
        <v>15</v>
      </c>
      <c r="O251" s="3" t="s">
        <v>10</v>
      </c>
    </row>
    <row r="252" spans="1:15" x14ac:dyDescent="0.3">
      <c r="A252" s="42">
        <v>43286</v>
      </c>
      <c r="B252" s="85" t="s">
        <v>753</v>
      </c>
      <c r="C252" s="2" t="s">
        <v>756</v>
      </c>
      <c r="D252" s="3">
        <v>5</v>
      </c>
      <c r="E252" s="15">
        <v>5</v>
      </c>
      <c r="F252" s="15">
        <v>84.418899999999994</v>
      </c>
      <c r="G252" s="15">
        <v>84.420500000000004</v>
      </c>
      <c r="H252" s="63" t="e">
        <f>+#REF!</f>
        <v>#REF!</v>
      </c>
      <c r="I252" s="63" t="e">
        <f t="shared" si="3"/>
        <v>#REF!</v>
      </c>
      <c r="J252" s="56" t="s">
        <v>10</v>
      </c>
      <c r="K252" s="56" t="s">
        <v>10</v>
      </c>
      <c r="L252" s="56" t="s">
        <v>10</v>
      </c>
      <c r="M252" s="3" t="s">
        <v>702</v>
      </c>
      <c r="N252" s="3" t="s">
        <v>15</v>
      </c>
      <c r="O252" s="3" t="s">
        <v>10</v>
      </c>
    </row>
    <row r="253" spans="1:15" x14ac:dyDescent="0.3">
      <c r="A253" s="42">
        <v>43286</v>
      </c>
      <c r="B253" s="85" t="s">
        <v>734</v>
      </c>
      <c r="C253" s="2" t="s">
        <v>735</v>
      </c>
      <c r="D253" s="3">
        <v>6</v>
      </c>
      <c r="E253" s="15">
        <v>5.0004</v>
      </c>
      <c r="F253" s="15">
        <v>86.569900000000004</v>
      </c>
      <c r="G253" s="15">
        <v>86.572900000000004</v>
      </c>
      <c r="H253" s="63" t="e">
        <f>+#REF!</f>
        <v>#REF!</v>
      </c>
      <c r="I253" s="63" t="e">
        <f t="shared" si="3"/>
        <v>#REF!</v>
      </c>
      <c r="J253" s="56" t="s">
        <v>10</v>
      </c>
      <c r="K253" s="56" t="s">
        <v>10</v>
      </c>
      <c r="L253" s="56" t="s">
        <v>10</v>
      </c>
      <c r="M253" s="3" t="s">
        <v>702</v>
      </c>
      <c r="N253" s="3" t="s">
        <v>15</v>
      </c>
      <c r="O253" s="3" t="s">
        <v>10</v>
      </c>
    </row>
    <row r="254" spans="1:15" x14ac:dyDescent="0.3">
      <c r="A254" s="42">
        <v>43290</v>
      </c>
      <c r="B254" s="85" t="s">
        <v>761</v>
      </c>
      <c r="C254" s="2" t="s">
        <v>762</v>
      </c>
      <c r="D254" s="3">
        <v>5</v>
      </c>
      <c r="E254" s="15">
        <v>5.0000999999999998</v>
      </c>
      <c r="F254" s="15">
        <v>86.571200000000005</v>
      </c>
      <c r="G254" s="15">
        <v>86.584299999999999</v>
      </c>
      <c r="H254" s="63"/>
      <c r="I254" s="63">
        <f t="shared" si="3"/>
        <v>0.2619947601046847</v>
      </c>
      <c r="J254" s="56" t="s">
        <v>10</v>
      </c>
      <c r="K254" s="56" t="s">
        <v>10</v>
      </c>
      <c r="L254" s="56" t="s">
        <v>10</v>
      </c>
      <c r="M254" s="3" t="s">
        <v>702</v>
      </c>
      <c r="N254" s="3" t="s">
        <v>15</v>
      </c>
      <c r="O254" s="3" t="s">
        <v>10</v>
      </c>
    </row>
    <row r="255" spans="1:15" x14ac:dyDescent="0.3">
      <c r="A255" s="42">
        <v>43291</v>
      </c>
      <c r="B255" s="85" t="s">
        <v>775</v>
      </c>
      <c r="C255" s="2" t="s">
        <v>776</v>
      </c>
      <c r="D255" s="3">
        <v>1</v>
      </c>
      <c r="E255" s="15">
        <v>5.0008999999999997</v>
      </c>
      <c r="F255" s="15">
        <v>93.6447</v>
      </c>
      <c r="G255" s="15">
        <v>93.9602</v>
      </c>
      <c r="H255" s="15"/>
      <c r="I255" s="63">
        <f t="shared" ref="I255:I304" si="4">((G255-F255)/(E255))*100*((100-H255)/100)</f>
        <v>6.3088644044072089</v>
      </c>
      <c r="J255" s="56" t="s">
        <v>10</v>
      </c>
      <c r="K255" s="56" t="s">
        <v>10</v>
      </c>
      <c r="L255" s="56" t="s">
        <v>10</v>
      </c>
      <c r="M255" s="3" t="s">
        <v>702</v>
      </c>
      <c r="N255" s="3" t="s">
        <v>15</v>
      </c>
      <c r="O255" s="3" t="s">
        <v>10</v>
      </c>
    </row>
    <row r="256" spans="1:15" x14ac:dyDescent="0.3">
      <c r="A256" s="42">
        <v>43291</v>
      </c>
      <c r="B256" s="85" t="s">
        <v>777</v>
      </c>
      <c r="C256" s="2" t="s">
        <v>778</v>
      </c>
      <c r="D256" s="3">
        <v>2</v>
      </c>
      <c r="E256" s="15">
        <v>5.0008999999999997</v>
      </c>
      <c r="F256" s="15">
        <v>88.495699999999999</v>
      </c>
      <c r="G256" s="15">
        <v>88.514600000000002</v>
      </c>
      <c r="H256" s="15"/>
      <c r="I256" s="63">
        <f t="shared" si="4"/>
        <v>0.37793197224503866</v>
      </c>
      <c r="J256" s="56" t="s">
        <v>10</v>
      </c>
      <c r="K256" s="56" t="s">
        <v>10</v>
      </c>
      <c r="L256" s="56" t="s">
        <v>10</v>
      </c>
      <c r="M256" s="3" t="s">
        <v>702</v>
      </c>
      <c r="N256" s="3" t="s">
        <v>15</v>
      </c>
      <c r="O256" s="3" t="s">
        <v>10</v>
      </c>
    </row>
    <row r="257" spans="1:15" x14ac:dyDescent="0.3">
      <c r="A257" s="42">
        <v>43291</v>
      </c>
      <c r="B257" s="85" t="s">
        <v>773</v>
      </c>
      <c r="C257" s="2" t="s">
        <v>774</v>
      </c>
      <c r="D257" s="3">
        <v>3</v>
      </c>
      <c r="E257" s="15">
        <v>5.0007999999999999</v>
      </c>
      <c r="F257" s="15">
        <v>86.571600000000004</v>
      </c>
      <c r="G257" s="15">
        <v>86.593299999999999</v>
      </c>
      <c r="H257" s="15"/>
      <c r="I257" s="63">
        <f t="shared" si="4"/>
        <v>0.43393057110853483</v>
      </c>
      <c r="J257" s="56" t="s">
        <v>10</v>
      </c>
      <c r="K257" s="56" t="s">
        <v>10</v>
      </c>
      <c r="L257" s="56" t="s">
        <v>10</v>
      </c>
      <c r="M257" s="3" t="s">
        <v>702</v>
      </c>
      <c r="N257" s="3" t="s">
        <v>15</v>
      </c>
      <c r="O257" s="3" t="s">
        <v>10</v>
      </c>
    </row>
    <row r="258" spans="1:15" x14ac:dyDescent="0.3">
      <c r="A258" s="42">
        <v>43293</v>
      </c>
      <c r="B258" s="85" t="s">
        <v>779</v>
      </c>
      <c r="C258" s="2" t="s">
        <v>780</v>
      </c>
      <c r="D258" s="3">
        <v>1</v>
      </c>
      <c r="E258" s="15">
        <v>5.0008999999999997</v>
      </c>
      <c r="F258" s="15">
        <v>88.535200000000003</v>
      </c>
      <c r="G258" s="15">
        <v>91.889200000000002</v>
      </c>
      <c r="H258" s="63" t="e">
        <f>+#REF!</f>
        <v>#REF!</v>
      </c>
      <c r="I258" s="63" t="e">
        <f t="shared" si="4"/>
        <v>#REF!</v>
      </c>
      <c r="J258" s="56" t="s">
        <v>10</v>
      </c>
      <c r="K258" s="56" t="s">
        <v>10</v>
      </c>
      <c r="L258" s="56" t="s">
        <v>10</v>
      </c>
      <c r="M258" s="3" t="s">
        <v>702</v>
      </c>
      <c r="N258" s="3" t="s">
        <v>15</v>
      </c>
      <c r="O258" s="3" t="s">
        <v>10</v>
      </c>
    </row>
    <row r="259" spans="1:15" x14ac:dyDescent="0.3">
      <c r="A259" s="42">
        <v>43293</v>
      </c>
      <c r="B259" s="85" t="s">
        <v>781</v>
      </c>
      <c r="C259" s="2" t="s">
        <v>782</v>
      </c>
      <c r="D259" s="3">
        <v>2</v>
      </c>
      <c r="E259" s="15">
        <v>5.0000999999999998</v>
      </c>
      <c r="F259" s="15">
        <v>89.870500000000007</v>
      </c>
      <c r="G259" s="15">
        <v>93.242699999999999</v>
      </c>
      <c r="H259" s="63" t="e">
        <f>+#REF!</f>
        <v>#REF!</v>
      </c>
      <c r="I259" s="63" t="e">
        <f t="shared" si="4"/>
        <v>#REF!</v>
      </c>
      <c r="J259" s="56" t="s">
        <v>10</v>
      </c>
      <c r="K259" s="56" t="s">
        <v>10</v>
      </c>
      <c r="L259" s="56" t="s">
        <v>10</v>
      </c>
      <c r="M259" s="3" t="s">
        <v>702</v>
      </c>
      <c r="N259" s="3" t="s">
        <v>15</v>
      </c>
      <c r="O259" s="3" t="s">
        <v>10</v>
      </c>
    </row>
    <row r="260" spans="1:15" x14ac:dyDescent="0.3">
      <c r="A260" s="42">
        <v>43293</v>
      </c>
      <c r="B260" s="85" t="s">
        <v>783</v>
      </c>
      <c r="C260" s="2" t="s">
        <v>784</v>
      </c>
      <c r="D260" s="3">
        <v>3</v>
      </c>
      <c r="E260" s="15">
        <v>5.0008999999999997</v>
      </c>
      <c r="F260" s="15">
        <v>89.491</v>
      </c>
      <c r="G260" s="15">
        <v>91.6023</v>
      </c>
      <c r="H260" s="63" t="e">
        <f>+#REF!</f>
        <v>#REF!</v>
      </c>
      <c r="I260" s="63" t="e">
        <f t="shared" si="4"/>
        <v>#REF!</v>
      </c>
      <c r="J260" s="56" t="s">
        <v>10</v>
      </c>
      <c r="K260" s="56" t="s">
        <v>10</v>
      </c>
      <c r="L260" s="56" t="s">
        <v>10</v>
      </c>
      <c r="M260" s="3" t="s">
        <v>702</v>
      </c>
      <c r="N260" s="3" t="s">
        <v>15</v>
      </c>
      <c r="O260" s="3" t="s">
        <v>10</v>
      </c>
    </row>
    <row r="261" spans="1:15" x14ac:dyDescent="0.3">
      <c r="A261" s="42">
        <v>43290</v>
      </c>
      <c r="B261" s="85" t="s">
        <v>769</v>
      </c>
      <c r="C261" s="2" t="s">
        <v>770</v>
      </c>
      <c r="D261" s="3">
        <v>1</v>
      </c>
      <c r="E261" s="15">
        <v>3.0009000000000001</v>
      </c>
      <c r="F261" s="15">
        <v>89.873000000000005</v>
      </c>
      <c r="G261" s="15">
        <v>90.394400000000005</v>
      </c>
      <c r="H261" s="15"/>
      <c r="I261" s="63">
        <f t="shared" si="4"/>
        <v>17.374787563730877</v>
      </c>
      <c r="J261" s="56" t="s">
        <v>10</v>
      </c>
      <c r="K261" s="56" t="s">
        <v>10</v>
      </c>
      <c r="L261" s="56" t="s">
        <v>10</v>
      </c>
      <c r="M261" s="3" t="s">
        <v>702</v>
      </c>
      <c r="N261" s="3" t="s">
        <v>15</v>
      </c>
      <c r="O261" s="3" t="s">
        <v>10</v>
      </c>
    </row>
    <row r="262" spans="1:15" x14ac:dyDescent="0.3">
      <c r="A262" s="42">
        <v>43290</v>
      </c>
      <c r="B262" s="85" t="s">
        <v>768</v>
      </c>
      <c r="C262" s="2" t="s">
        <v>767</v>
      </c>
      <c r="D262" s="3">
        <v>2</v>
      </c>
      <c r="E262" s="15">
        <v>3.0009000000000001</v>
      </c>
      <c r="F262" s="15">
        <v>89.490099999999998</v>
      </c>
      <c r="G262" s="15">
        <v>90.176400000000001</v>
      </c>
      <c r="H262" s="15"/>
      <c r="I262" s="63">
        <f t="shared" si="4"/>
        <v>22.869805724949273</v>
      </c>
      <c r="J262" s="56" t="s">
        <v>10</v>
      </c>
      <c r="K262" s="56" t="s">
        <v>10</v>
      </c>
      <c r="L262" s="56" t="s">
        <v>10</v>
      </c>
      <c r="M262" s="3" t="s">
        <v>702</v>
      </c>
      <c r="N262" s="3" t="s">
        <v>15</v>
      </c>
      <c r="O262" s="3" t="s">
        <v>10</v>
      </c>
    </row>
    <row r="263" spans="1:15" x14ac:dyDescent="0.3">
      <c r="A263" s="42">
        <v>43290</v>
      </c>
      <c r="B263" s="85" t="s">
        <v>771</v>
      </c>
      <c r="C263" s="2" t="s">
        <v>772</v>
      </c>
      <c r="D263" s="3">
        <v>3</v>
      </c>
      <c r="E263" s="15">
        <v>3.0007999999999999</v>
      </c>
      <c r="F263" s="15">
        <v>88.537000000000006</v>
      </c>
      <c r="G263" s="15">
        <v>89.050899999999999</v>
      </c>
      <c r="H263" s="15"/>
      <c r="I263" s="63">
        <f t="shared" si="4"/>
        <v>17.125433217808332</v>
      </c>
      <c r="J263" s="56" t="s">
        <v>10</v>
      </c>
      <c r="K263" s="56" t="s">
        <v>10</v>
      </c>
      <c r="L263" s="56" t="s">
        <v>10</v>
      </c>
      <c r="M263" s="3" t="s">
        <v>702</v>
      </c>
      <c r="N263" s="3" t="s">
        <v>15</v>
      </c>
      <c r="O263" s="3" t="s">
        <v>10</v>
      </c>
    </row>
    <row r="264" spans="1:15" x14ac:dyDescent="0.3">
      <c r="A264" s="42">
        <v>43290</v>
      </c>
      <c r="B264" s="85" t="s">
        <v>750</v>
      </c>
      <c r="C264" s="2" t="s">
        <v>760</v>
      </c>
      <c r="D264" s="3">
        <v>4</v>
      </c>
      <c r="E264" s="15">
        <v>5.0007999999999999</v>
      </c>
      <c r="F264" s="15">
        <v>86.593999999999994</v>
      </c>
      <c r="G264" s="15">
        <v>86.867599999999996</v>
      </c>
      <c r="H264" s="15"/>
      <c r="I264" s="63">
        <f t="shared" si="4"/>
        <v>5.4711246200608272</v>
      </c>
      <c r="J264" s="56" t="s">
        <v>10</v>
      </c>
      <c r="K264" s="56" t="s">
        <v>10</v>
      </c>
      <c r="L264" s="56" t="s">
        <v>10</v>
      </c>
      <c r="M264" s="3" t="s">
        <v>702</v>
      </c>
      <c r="N264" s="3" t="s">
        <v>15</v>
      </c>
      <c r="O264" s="3" t="s">
        <v>785</v>
      </c>
    </row>
    <row r="265" spans="1:15" x14ac:dyDescent="0.3">
      <c r="A265" s="42">
        <v>43291</v>
      </c>
      <c r="B265" s="85" t="s">
        <v>775</v>
      </c>
      <c r="C265" s="2" t="s">
        <v>776</v>
      </c>
      <c r="D265" s="3">
        <v>1</v>
      </c>
      <c r="E265" s="15">
        <v>5.0008999999999997</v>
      </c>
      <c r="F265" s="15">
        <v>93.954700000000003</v>
      </c>
      <c r="G265" s="15">
        <v>93.9602</v>
      </c>
      <c r="H265" s="15"/>
      <c r="I265" s="63">
        <f t="shared" si="4"/>
        <v>0.10998020356331542</v>
      </c>
      <c r="J265" s="56" t="s">
        <v>10</v>
      </c>
      <c r="K265" s="56" t="s">
        <v>10</v>
      </c>
      <c r="L265" s="56" t="s">
        <v>10</v>
      </c>
      <c r="M265" s="3" t="s">
        <v>702</v>
      </c>
      <c r="N265" s="3" t="s">
        <v>15</v>
      </c>
      <c r="O265" s="3" t="s">
        <v>10</v>
      </c>
    </row>
    <row r="266" spans="1:15" x14ac:dyDescent="0.3">
      <c r="A266" s="42">
        <v>43291</v>
      </c>
      <c r="B266" s="85" t="s">
        <v>786</v>
      </c>
      <c r="C266" s="2" t="s">
        <v>787</v>
      </c>
      <c r="D266" s="3">
        <v>2</v>
      </c>
      <c r="E266" s="15">
        <v>5.0008999999999997</v>
      </c>
      <c r="F266" s="15">
        <v>88.495699999999999</v>
      </c>
      <c r="G266" s="15">
        <v>88.514600000000002</v>
      </c>
      <c r="H266" s="15"/>
      <c r="I266" s="63">
        <f t="shared" si="4"/>
        <v>0.37793197224503866</v>
      </c>
      <c r="J266" s="56" t="s">
        <v>10</v>
      </c>
      <c r="K266" s="56" t="s">
        <v>10</v>
      </c>
      <c r="L266" s="56" t="s">
        <v>10</v>
      </c>
      <c r="M266" s="3" t="s">
        <v>702</v>
      </c>
      <c r="N266" s="3" t="s">
        <v>15</v>
      </c>
      <c r="O266" s="3" t="s">
        <v>10</v>
      </c>
    </row>
    <row r="267" spans="1:15" x14ac:dyDescent="0.3">
      <c r="A267" s="42">
        <v>43290</v>
      </c>
      <c r="B267" s="85" t="s">
        <v>768</v>
      </c>
      <c r="C267" s="2" t="s">
        <v>767</v>
      </c>
      <c r="D267" s="3">
        <v>2</v>
      </c>
      <c r="E267" s="15">
        <v>3.0009000000000001</v>
      </c>
      <c r="F267" s="15">
        <v>89.490099999999998</v>
      </c>
      <c r="G267" s="15">
        <v>90.176400000000001</v>
      </c>
      <c r="H267" s="63" t="e">
        <f>+#REF!</f>
        <v>#REF!</v>
      </c>
      <c r="I267" s="63" t="e">
        <f t="shared" si="4"/>
        <v>#REF!</v>
      </c>
      <c r="J267" s="56" t="s">
        <v>10</v>
      </c>
      <c r="K267" s="56" t="s">
        <v>10</v>
      </c>
      <c r="L267" s="56" t="s">
        <v>10</v>
      </c>
      <c r="M267" s="3" t="s">
        <v>702</v>
      </c>
      <c r="N267" s="3" t="s">
        <v>15</v>
      </c>
      <c r="O267" s="3" t="s">
        <v>10</v>
      </c>
    </row>
    <row r="268" spans="1:15" x14ac:dyDescent="0.3">
      <c r="A268" s="42">
        <v>43290</v>
      </c>
      <c r="B268" s="85" t="s">
        <v>769</v>
      </c>
      <c r="C268" s="2" t="s">
        <v>770</v>
      </c>
      <c r="D268" s="3">
        <v>1</v>
      </c>
      <c r="E268" s="15">
        <v>3.0009000000000001</v>
      </c>
      <c r="F268" s="15">
        <v>89.873000000000005</v>
      </c>
      <c r="G268" s="15">
        <v>90.394400000000005</v>
      </c>
      <c r="H268" s="63" t="e">
        <f>+#REF!</f>
        <v>#REF!</v>
      </c>
      <c r="I268" s="63" t="e">
        <f t="shared" si="4"/>
        <v>#REF!</v>
      </c>
      <c r="J268" s="56" t="s">
        <v>10</v>
      </c>
      <c r="K268" s="56" t="s">
        <v>10</v>
      </c>
      <c r="L268" s="56" t="s">
        <v>10</v>
      </c>
      <c r="M268" s="3" t="s">
        <v>702</v>
      </c>
      <c r="N268" s="3" t="s">
        <v>15</v>
      </c>
      <c r="O268" s="3" t="s">
        <v>10</v>
      </c>
    </row>
    <row r="269" spans="1:15" x14ac:dyDescent="0.3">
      <c r="A269" s="42">
        <v>43290</v>
      </c>
      <c r="B269" s="85" t="s">
        <v>771</v>
      </c>
      <c r="C269" s="2" t="s">
        <v>772</v>
      </c>
      <c r="D269" s="3">
        <v>3</v>
      </c>
      <c r="E269" s="15">
        <v>3.0007999999999999</v>
      </c>
      <c r="F269" s="15">
        <v>88.537000000000006</v>
      </c>
      <c r="G269" s="15">
        <v>89.050899999999999</v>
      </c>
      <c r="H269" s="63" t="e">
        <f>+#REF!</f>
        <v>#REF!</v>
      </c>
      <c r="I269" s="63" t="e">
        <f t="shared" si="4"/>
        <v>#REF!</v>
      </c>
      <c r="J269" s="56" t="s">
        <v>10</v>
      </c>
      <c r="K269" s="56" t="s">
        <v>10</v>
      </c>
      <c r="L269" s="56" t="s">
        <v>10</v>
      </c>
      <c r="M269" s="3" t="s">
        <v>702</v>
      </c>
      <c r="N269" s="3" t="s">
        <v>15</v>
      </c>
      <c r="O269" s="3" t="s">
        <v>10</v>
      </c>
    </row>
    <row r="270" spans="1:15" x14ac:dyDescent="0.3">
      <c r="A270" s="42">
        <v>43295</v>
      </c>
      <c r="B270" s="85" t="s">
        <v>775</v>
      </c>
      <c r="C270" s="2" t="s">
        <v>776</v>
      </c>
      <c r="D270" s="3" t="s">
        <v>127</v>
      </c>
      <c r="E270" s="15">
        <v>1.0006999999999999</v>
      </c>
      <c r="F270" s="15">
        <v>81.911799999999999</v>
      </c>
      <c r="G270" s="15">
        <v>82.208299999999994</v>
      </c>
      <c r="H270" s="15"/>
      <c r="I270" s="63">
        <f t="shared" si="4"/>
        <v>29.629259518336632</v>
      </c>
      <c r="J270" s="56" t="s">
        <v>10</v>
      </c>
      <c r="K270" s="56" t="s">
        <v>10</v>
      </c>
      <c r="L270" s="56" t="s">
        <v>10</v>
      </c>
      <c r="M270" s="3" t="s">
        <v>14</v>
      </c>
      <c r="N270" s="3" t="s">
        <v>15</v>
      </c>
      <c r="O270" s="3" t="s">
        <v>279</v>
      </c>
    </row>
    <row r="271" spans="1:15" x14ac:dyDescent="0.3">
      <c r="A271" s="42">
        <v>43295</v>
      </c>
      <c r="B271" s="85" t="s">
        <v>777</v>
      </c>
      <c r="C271" s="2" t="s">
        <v>778</v>
      </c>
      <c r="D271" s="3" t="s">
        <v>127</v>
      </c>
      <c r="E271" s="15">
        <v>1.0008999999999999</v>
      </c>
      <c r="F271" s="15">
        <v>87.900800000000004</v>
      </c>
      <c r="G271" s="15">
        <v>88.1858</v>
      </c>
      <c r="H271" s="15"/>
      <c r="I271" s="63">
        <f t="shared" si="4"/>
        <v>28.474373064241842</v>
      </c>
      <c r="J271" s="56" t="s">
        <v>10</v>
      </c>
      <c r="K271" s="56" t="s">
        <v>10</v>
      </c>
      <c r="L271" s="56" t="s">
        <v>10</v>
      </c>
      <c r="M271" s="3" t="s">
        <v>14</v>
      </c>
      <c r="N271" s="3" t="s">
        <v>15</v>
      </c>
      <c r="O271" s="3" t="s">
        <v>279</v>
      </c>
    </row>
    <row r="272" spans="1:15" x14ac:dyDescent="0.3">
      <c r="A272" s="42">
        <v>43295</v>
      </c>
      <c r="B272" s="85" t="s">
        <v>773</v>
      </c>
      <c r="C272" s="2" t="s">
        <v>774</v>
      </c>
      <c r="D272" s="3" t="s">
        <v>127</v>
      </c>
      <c r="E272" s="15">
        <v>1.0006999999999999</v>
      </c>
      <c r="F272" s="15">
        <v>84.417699999999996</v>
      </c>
      <c r="G272" s="15">
        <v>84.6845</v>
      </c>
      <c r="H272" s="15"/>
      <c r="I272" s="63">
        <f t="shared" si="4"/>
        <v>26.661337064055513</v>
      </c>
      <c r="J272" s="56" t="s">
        <v>10</v>
      </c>
      <c r="K272" s="56" t="s">
        <v>10</v>
      </c>
      <c r="L272" s="56" t="s">
        <v>10</v>
      </c>
      <c r="M272" s="3" t="s">
        <v>14</v>
      </c>
      <c r="N272" s="3" t="s">
        <v>15</v>
      </c>
      <c r="O272" s="3" t="s">
        <v>279</v>
      </c>
    </row>
    <row r="273" spans="1:15" x14ac:dyDescent="0.3">
      <c r="A273" s="42">
        <v>43298</v>
      </c>
      <c r="B273" s="85" t="s">
        <v>800</v>
      </c>
      <c r="C273" s="2" t="s">
        <v>801</v>
      </c>
      <c r="D273" s="3">
        <v>1</v>
      </c>
      <c r="E273" s="15">
        <v>5.0007999999999999</v>
      </c>
      <c r="F273" s="15">
        <v>88.156000000000006</v>
      </c>
      <c r="G273" s="15">
        <v>89.36</v>
      </c>
      <c r="H273" s="15"/>
      <c r="I273" s="63">
        <f t="shared" si="4"/>
        <v>24.076147816349255</v>
      </c>
      <c r="J273" s="56" t="s">
        <v>10</v>
      </c>
      <c r="K273" s="56" t="s">
        <v>10</v>
      </c>
      <c r="L273" s="56" t="s">
        <v>10</v>
      </c>
      <c r="M273" s="3" t="s">
        <v>702</v>
      </c>
      <c r="N273" s="3" t="s">
        <v>15</v>
      </c>
      <c r="O273" s="3" t="s">
        <v>10</v>
      </c>
    </row>
    <row r="274" spans="1:15" x14ac:dyDescent="0.3">
      <c r="A274" s="42">
        <v>43298</v>
      </c>
      <c r="B274" s="85" t="s">
        <v>794</v>
      </c>
      <c r="C274" s="2" t="s">
        <v>795</v>
      </c>
      <c r="D274" s="3">
        <v>2</v>
      </c>
      <c r="E274" s="15">
        <v>5.0004</v>
      </c>
      <c r="F274" s="15">
        <v>89.488799999999998</v>
      </c>
      <c r="G274" s="15">
        <v>90.555899999999994</v>
      </c>
      <c r="H274" s="63" t="e">
        <f>+#REF!</f>
        <v>#REF!</v>
      </c>
      <c r="I274" s="63" t="e">
        <f t="shared" si="4"/>
        <v>#REF!</v>
      </c>
      <c r="J274" s="56" t="s">
        <v>10</v>
      </c>
      <c r="K274" s="56" t="s">
        <v>10</v>
      </c>
      <c r="L274" s="56" t="s">
        <v>10</v>
      </c>
      <c r="M274" s="3" t="s">
        <v>702</v>
      </c>
      <c r="N274" s="3" t="s">
        <v>15</v>
      </c>
      <c r="O274" s="3" t="s">
        <v>10</v>
      </c>
    </row>
    <row r="275" spans="1:15" x14ac:dyDescent="0.3">
      <c r="A275" s="42">
        <v>43298</v>
      </c>
      <c r="B275" s="85" t="s">
        <v>796</v>
      </c>
      <c r="C275" s="2" t="s">
        <v>797</v>
      </c>
      <c r="D275" s="3">
        <v>3</v>
      </c>
      <c r="E275" s="15">
        <v>5.0008999999999997</v>
      </c>
      <c r="F275" s="15">
        <v>86.593699999999998</v>
      </c>
      <c r="G275" s="15">
        <v>87.434700000000007</v>
      </c>
      <c r="H275" s="63" t="e">
        <f>+#REF!</f>
        <v>#REF!</v>
      </c>
      <c r="I275" s="63" t="e">
        <f t="shared" si="4"/>
        <v>#REF!</v>
      </c>
      <c r="J275" s="56" t="s">
        <v>10</v>
      </c>
      <c r="K275" s="56" t="s">
        <v>10</v>
      </c>
      <c r="L275" s="56" t="s">
        <v>10</v>
      </c>
      <c r="M275" s="3" t="s">
        <v>702</v>
      </c>
      <c r="N275" s="3" t="s">
        <v>15</v>
      </c>
      <c r="O275" s="3" t="s">
        <v>10</v>
      </c>
    </row>
    <row r="276" spans="1:15" x14ac:dyDescent="0.3">
      <c r="A276" s="42">
        <v>43298</v>
      </c>
      <c r="B276" s="85" t="s">
        <v>798</v>
      </c>
      <c r="C276" s="2" t="s">
        <v>799</v>
      </c>
      <c r="D276" s="3">
        <v>4</v>
      </c>
      <c r="E276" s="15">
        <v>5.0004</v>
      </c>
      <c r="F276" s="15">
        <v>88.536500000000004</v>
      </c>
      <c r="G276" s="15">
        <v>89.661199999999994</v>
      </c>
      <c r="H276" s="63" t="e">
        <f>+#REF!</f>
        <v>#REF!</v>
      </c>
      <c r="I276" s="63" t="e">
        <f t="shared" si="4"/>
        <v>#REF!</v>
      </c>
      <c r="J276" s="56" t="s">
        <v>10</v>
      </c>
      <c r="K276" s="56" t="s">
        <v>10</v>
      </c>
      <c r="L276" s="56" t="s">
        <v>10</v>
      </c>
      <c r="M276" s="3" t="s">
        <v>702</v>
      </c>
      <c r="N276" s="3" t="s">
        <v>15</v>
      </c>
      <c r="O276" s="3" t="s">
        <v>10</v>
      </c>
    </row>
    <row r="277" spans="1:15" x14ac:dyDescent="0.3">
      <c r="A277" s="42">
        <v>43307</v>
      </c>
      <c r="B277" s="3" t="s">
        <v>653</v>
      </c>
      <c r="C277" s="2" t="s">
        <v>654</v>
      </c>
      <c r="D277" s="3">
        <v>1</v>
      </c>
      <c r="E277" s="15">
        <v>2.0005999999999999</v>
      </c>
      <c r="F277" s="15">
        <v>86.574700000000007</v>
      </c>
      <c r="G277" s="15">
        <v>86.657600000000002</v>
      </c>
      <c r="H277" s="15"/>
      <c r="I277" s="63">
        <f t="shared" si="4"/>
        <v>4.1437568729378729</v>
      </c>
      <c r="J277" s="276">
        <f>+AVERAGE(I277:I278)</f>
        <v>4.1042768165499028</v>
      </c>
      <c r="K277" s="276">
        <f>+STDEVA(I277:I278)</f>
        <v>5.5833231187121767E-2</v>
      </c>
      <c r="L277" s="276">
        <f>+(K277/J277)*100</f>
        <v>1.3603670922483184</v>
      </c>
      <c r="M277" s="3" t="s">
        <v>14</v>
      </c>
      <c r="N277" s="3" t="s">
        <v>15</v>
      </c>
      <c r="O277" s="3" t="s">
        <v>10</v>
      </c>
    </row>
    <row r="278" spans="1:15" x14ac:dyDescent="0.3">
      <c r="A278" s="42">
        <v>43307</v>
      </c>
      <c r="B278" s="3" t="s">
        <v>653</v>
      </c>
      <c r="C278" s="2" t="s">
        <v>654</v>
      </c>
      <c r="D278" s="3">
        <v>2</v>
      </c>
      <c r="E278" s="15">
        <v>2.0001000000000002</v>
      </c>
      <c r="F278" s="18">
        <v>88.537400000000005</v>
      </c>
      <c r="G278" s="15">
        <v>88.618700000000004</v>
      </c>
      <c r="H278" s="15"/>
      <c r="I278" s="63">
        <f t="shared" si="4"/>
        <v>4.0647967601619328</v>
      </c>
      <c r="J278" s="277"/>
      <c r="K278" s="277"/>
      <c r="L278" s="277"/>
      <c r="M278" s="3" t="s">
        <v>14</v>
      </c>
      <c r="N278" s="3" t="s">
        <v>15</v>
      </c>
      <c r="O278" s="3" t="s">
        <v>10</v>
      </c>
    </row>
    <row r="279" spans="1:15" x14ac:dyDescent="0.3">
      <c r="A279" s="42">
        <v>43307</v>
      </c>
      <c r="B279" s="3" t="s">
        <v>818</v>
      </c>
      <c r="C279" s="2" t="s">
        <v>819</v>
      </c>
      <c r="D279" s="3">
        <v>3</v>
      </c>
      <c r="E279" s="15">
        <v>2.0004</v>
      </c>
      <c r="F279" s="15">
        <v>88.157200000000003</v>
      </c>
      <c r="G279" s="15">
        <v>88.198099999999997</v>
      </c>
      <c r="H279" s="15"/>
      <c r="I279" s="63">
        <f t="shared" si="4"/>
        <v>2.0445910817833179</v>
      </c>
      <c r="J279" s="276">
        <f>+AVERAGE(I279:I280)</f>
        <v>2.2593625674322393</v>
      </c>
      <c r="K279" s="276">
        <f>+STDEVA(I279:I280)</f>
        <v>0.30373274781572279</v>
      </c>
      <c r="L279" s="276">
        <f>+(K279/J279)*100</f>
        <v>13.44329379418348</v>
      </c>
      <c r="M279" s="3" t="s">
        <v>14</v>
      </c>
      <c r="N279" s="3" t="s">
        <v>15</v>
      </c>
      <c r="O279" s="3" t="s">
        <v>820</v>
      </c>
    </row>
    <row r="280" spans="1:15" x14ac:dyDescent="0.3">
      <c r="A280" s="42">
        <v>43307</v>
      </c>
      <c r="B280" s="3" t="s">
        <v>818</v>
      </c>
      <c r="C280" s="2" t="s">
        <v>819</v>
      </c>
      <c r="D280" s="3">
        <v>4</v>
      </c>
      <c r="E280" s="15">
        <v>2.0007000000000001</v>
      </c>
      <c r="F280" s="15">
        <v>86.595100000000002</v>
      </c>
      <c r="G280" s="15">
        <v>86.644599999999997</v>
      </c>
      <c r="H280" s="15"/>
      <c r="I280" s="63">
        <f t="shared" si="4"/>
        <v>2.4741340530811602</v>
      </c>
      <c r="J280" s="277"/>
      <c r="K280" s="277"/>
      <c r="L280" s="277"/>
      <c r="M280" s="3" t="s">
        <v>14</v>
      </c>
      <c r="N280" s="3" t="s">
        <v>15</v>
      </c>
      <c r="O280" s="3" t="s">
        <v>820</v>
      </c>
    </row>
    <row r="281" spans="1:15" x14ac:dyDescent="0.3">
      <c r="A281" s="42">
        <v>43309</v>
      </c>
      <c r="B281" s="2" t="s">
        <v>846</v>
      </c>
      <c r="C281" s="2" t="s">
        <v>847</v>
      </c>
      <c r="D281" s="3" t="s">
        <v>127</v>
      </c>
      <c r="E281" s="15">
        <v>5.0000999999999998</v>
      </c>
      <c r="F281" s="15">
        <v>89.874099999999999</v>
      </c>
      <c r="G281" s="15">
        <v>90.132999999999996</v>
      </c>
      <c r="H281" s="15"/>
      <c r="I281" s="63">
        <f t="shared" si="4"/>
        <v>5.1778964420710993</v>
      </c>
      <c r="J281" s="16" t="s">
        <v>10</v>
      </c>
      <c r="K281" s="56" t="s">
        <v>10</v>
      </c>
      <c r="L281" s="16" t="s">
        <v>10</v>
      </c>
      <c r="M281" s="3" t="s">
        <v>14</v>
      </c>
      <c r="N281" s="3" t="s">
        <v>15</v>
      </c>
      <c r="O281" s="3" t="s">
        <v>279</v>
      </c>
    </row>
    <row r="282" spans="1:15" x14ac:dyDescent="0.3">
      <c r="A282" s="42">
        <v>43309</v>
      </c>
      <c r="B282" s="15" t="s">
        <v>821</v>
      </c>
      <c r="C282" s="19" t="s">
        <v>824</v>
      </c>
      <c r="D282" s="3" t="s">
        <v>127</v>
      </c>
      <c r="E282" s="15">
        <v>8.0001999999999995</v>
      </c>
      <c r="F282" s="15">
        <v>86.57</v>
      </c>
      <c r="G282" s="15">
        <v>87.952799999999996</v>
      </c>
      <c r="H282" s="15"/>
      <c r="I282" s="63">
        <f t="shared" si="4"/>
        <v>17.284567885802897</v>
      </c>
      <c r="J282" s="16" t="s">
        <v>10</v>
      </c>
      <c r="K282" s="56" t="s">
        <v>10</v>
      </c>
      <c r="L282" s="16" t="s">
        <v>10</v>
      </c>
      <c r="M282" s="3" t="s">
        <v>14</v>
      </c>
      <c r="N282" s="3" t="s">
        <v>15</v>
      </c>
      <c r="O282" s="3" t="s">
        <v>279</v>
      </c>
    </row>
    <row r="283" spans="1:15" x14ac:dyDescent="0.3">
      <c r="A283" s="42">
        <v>43309</v>
      </c>
      <c r="B283" s="15" t="s">
        <v>848</v>
      </c>
      <c r="C283" s="19" t="s">
        <v>849</v>
      </c>
      <c r="D283" s="3" t="s">
        <v>127</v>
      </c>
      <c r="E283" s="15">
        <v>8.0006000000000004</v>
      </c>
      <c r="F283" s="15">
        <v>84.418999999999997</v>
      </c>
      <c r="G283" s="15">
        <v>86.222499999999997</v>
      </c>
      <c r="H283" s="15"/>
      <c r="I283" s="63">
        <f t="shared" si="4"/>
        <v>22.542059345549077</v>
      </c>
      <c r="J283" s="16" t="s">
        <v>10</v>
      </c>
      <c r="K283" s="56" t="s">
        <v>10</v>
      </c>
      <c r="L283" s="16" t="s">
        <v>10</v>
      </c>
      <c r="M283" s="3" t="s">
        <v>14</v>
      </c>
      <c r="N283" s="3" t="s">
        <v>15</v>
      </c>
      <c r="O283" s="3" t="s">
        <v>279</v>
      </c>
    </row>
    <row r="284" spans="1:15" x14ac:dyDescent="0.3">
      <c r="A284" s="42">
        <v>43309</v>
      </c>
      <c r="B284" s="15" t="s">
        <v>850</v>
      </c>
      <c r="C284" s="19" t="s">
        <v>851</v>
      </c>
      <c r="D284" s="3" t="s">
        <v>127</v>
      </c>
      <c r="E284" s="15">
        <v>8.0007000000000001</v>
      </c>
      <c r="F284" s="15">
        <v>88.538499999999999</v>
      </c>
      <c r="G284" s="15">
        <v>90.204599999999999</v>
      </c>
      <c r="H284" s="15"/>
      <c r="I284" s="63">
        <f t="shared" si="4"/>
        <v>20.824427862562029</v>
      </c>
      <c r="J284" s="16" t="s">
        <v>10</v>
      </c>
      <c r="K284" s="56" t="s">
        <v>10</v>
      </c>
      <c r="L284" s="16" t="s">
        <v>10</v>
      </c>
      <c r="M284" s="3" t="s">
        <v>14</v>
      </c>
      <c r="N284" s="3" t="s">
        <v>15</v>
      </c>
      <c r="O284" s="3" t="s">
        <v>279</v>
      </c>
    </row>
    <row r="285" spans="1:15" x14ac:dyDescent="0.3">
      <c r="A285" s="42">
        <v>43309</v>
      </c>
      <c r="B285" s="15" t="s">
        <v>852</v>
      </c>
      <c r="C285" s="19" t="s">
        <v>853</v>
      </c>
      <c r="D285" s="3" t="s">
        <v>127</v>
      </c>
      <c r="E285" s="15">
        <v>8.0001999999999995</v>
      </c>
      <c r="F285" s="15">
        <v>88.157799999999995</v>
      </c>
      <c r="G285" s="15">
        <v>89.607900000000001</v>
      </c>
      <c r="H285" s="15"/>
      <c r="I285" s="63">
        <f t="shared" si="4"/>
        <v>18.125796855078701</v>
      </c>
      <c r="J285" s="16" t="s">
        <v>10</v>
      </c>
      <c r="K285" s="56" t="s">
        <v>10</v>
      </c>
      <c r="L285" s="16" t="s">
        <v>10</v>
      </c>
      <c r="M285" s="3" t="s">
        <v>14</v>
      </c>
      <c r="N285" s="3" t="s">
        <v>15</v>
      </c>
      <c r="O285" s="3" t="s">
        <v>279</v>
      </c>
    </row>
    <row r="286" spans="1:15" x14ac:dyDescent="0.3">
      <c r="A286" s="42">
        <v>43309</v>
      </c>
      <c r="B286" s="15" t="s">
        <v>854</v>
      </c>
      <c r="C286" s="19" t="s">
        <v>855</v>
      </c>
      <c r="D286" s="3" t="s">
        <v>127</v>
      </c>
      <c r="E286" s="15">
        <v>8.0004000000000008</v>
      </c>
      <c r="F286" s="15">
        <v>93.953199999999995</v>
      </c>
      <c r="G286" s="15">
        <v>94.462100000000007</v>
      </c>
      <c r="H286" s="15"/>
      <c r="I286" s="63">
        <f t="shared" si="4"/>
        <v>6.3609319534024698</v>
      </c>
      <c r="J286" s="16" t="s">
        <v>10</v>
      </c>
      <c r="K286" s="56" t="s">
        <v>10</v>
      </c>
      <c r="L286" s="16" t="s">
        <v>10</v>
      </c>
      <c r="M286" s="3" t="s">
        <v>14</v>
      </c>
      <c r="N286" s="3" t="s">
        <v>15</v>
      </c>
      <c r="O286" s="3" t="s">
        <v>279</v>
      </c>
    </row>
    <row r="287" spans="1:15" x14ac:dyDescent="0.3">
      <c r="A287" s="42">
        <v>43309</v>
      </c>
      <c r="B287" s="15" t="s">
        <v>856</v>
      </c>
      <c r="C287" s="19" t="s">
        <v>857</v>
      </c>
      <c r="D287" s="3" t="s">
        <v>127</v>
      </c>
      <c r="E287" s="15">
        <v>8.0002999999999993</v>
      </c>
      <c r="F287" s="15">
        <v>89.490499999999997</v>
      </c>
      <c r="G287" s="15">
        <v>91.111199999999997</v>
      </c>
      <c r="H287" s="15"/>
      <c r="I287" s="63">
        <f t="shared" si="4"/>
        <v>20.257990325362794</v>
      </c>
      <c r="J287" s="16" t="s">
        <v>10</v>
      </c>
      <c r="K287" s="56" t="s">
        <v>10</v>
      </c>
      <c r="L287" s="16" t="s">
        <v>10</v>
      </c>
      <c r="M287" s="3" t="s">
        <v>14</v>
      </c>
      <c r="N287" s="3" t="s">
        <v>15</v>
      </c>
      <c r="O287" s="3" t="s">
        <v>279</v>
      </c>
    </row>
    <row r="288" spans="1:15" x14ac:dyDescent="0.3">
      <c r="A288" s="42">
        <v>43309</v>
      </c>
      <c r="B288" s="15" t="s">
        <v>858</v>
      </c>
      <c r="C288" s="19" t="s">
        <v>861</v>
      </c>
      <c r="D288" s="3" t="s">
        <v>127</v>
      </c>
      <c r="E288" s="15">
        <v>8.0005000000000006</v>
      </c>
      <c r="F288" s="15">
        <v>81.912999999999997</v>
      </c>
      <c r="G288" s="15">
        <v>83.857100000000003</v>
      </c>
      <c r="H288" s="15"/>
      <c r="I288" s="63">
        <f t="shared" si="4"/>
        <v>24.299731266795899</v>
      </c>
      <c r="J288" s="16" t="s">
        <v>10</v>
      </c>
      <c r="K288" s="56" t="s">
        <v>10</v>
      </c>
      <c r="L288" s="16" t="s">
        <v>10</v>
      </c>
      <c r="M288" s="3" t="s">
        <v>14</v>
      </c>
      <c r="N288" s="3" t="s">
        <v>15</v>
      </c>
      <c r="O288" s="3" t="s">
        <v>279</v>
      </c>
    </row>
    <row r="289" spans="1:15" x14ac:dyDescent="0.3">
      <c r="A289" s="42">
        <v>43309</v>
      </c>
      <c r="B289" s="15" t="s">
        <v>860</v>
      </c>
      <c r="C289" s="19" t="s">
        <v>859</v>
      </c>
      <c r="D289" s="3" t="s">
        <v>127</v>
      </c>
      <c r="E289" s="15">
        <v>8.0006000000000004</v>
      </c>
      <c r="F289" s="15">
        <v>86.595500000000001</v>
      </c>
      <c r="G289" s="15">
        <v>88.452200000000005</v>
      </c>
      <c r="H289" s="15"/>
      <c r="I289" s="63">
        <f t="shared" si="4"/>
        <v>23.207009474289471</v>
      </c>
      <c r="J289" s="16" t="s">
        <v>10</v>
      </c>
      <c r="K289" s="56" t="s">
        <v>10</v>
      </c>
      <c r="L289" s="16" t="s">
        <v>10</v>
      </c>
      <c r="M289" s="3" t="s">
        <v>14</v>
      </c>
      <c r="N289" s="3" t="s">
        <v>15</v>
      </c>
      <c r="O289" s="3" t="s">
        <v>279</v>
      </c>
    </row>
    <row r="290" spans="1:15" x14ac:dyDescent="0.3">
      <c r="A290" s="42">
        <v>43305</v>
      </c>
      <c r="B290" s="3" t="s">
        <v>844</v>
      </c>
      <c r="C290" s="2" t="s">
        <v>842</v>
      </c>
      <c r="D290" s="3">
        <v>1</v>
      </c>
      <c r="E290" s="15">
        <v>5.0008999999999997</v>
      </c>
      <c r="F290" s="15">
        <v>93.952799999999996</v>
      </c>
      <c r="G290" s="15">
        <v>95.843999999999994</v>
      </c>
      <c r="H290" s="15"/>
      <c r="I290" s="63">
        <f t="shared" si="4"/>
        <v>37.817192905277011</v>
      </c>
      <c r="J290" s="16" t="s">
        <v>10</v>
      </c>
      <c r="K290" s="56" t="s">
        <v>10</v>
      </c>
      <c r="L290" s="16" t="s">
        <v>10</v>
      </c>
      <c r="M290" s="3" t="s">
        <v>14</v>
      </c>
      <c r="N290" s="3" t="s">
        <v>15</v>
      </c>
      <c r="O290" s="3" t="s">
        <v>10</v>
      </c>
    </row>
    <row r="291" spans="1:15" x14ac:dyDescent="0.3">
      <c r="A291" s="42">
        <v>43305</v>
      </c>
      <c r="B291" s="3" t="s">
        <v>845</v>
      </c>
      <c r="C291" s="2" t="s">
        <v>843</v>
      </c>
      <c r="D291" s="3">
        <v>2</v>
      </c>
      <c r="E291" s="15">
        <v>5.0007000000000001</v>
      </c>
      <c r="F291" s="15">
        <v>89.873000000000005</v>
      </c>
      <c r="G291" s="15">
        <v>91.858599999999996</v>
      </c>
      <c r="H291" s="15"/>
      <c r="I291" s="63">
        <f t="shared" si="4"/>
        <v>39.706441098246067</v>
      </c>
      <c r="J291" s="16" t="s">
        <v>10</v>
      </c>
      <c r="K291" s="56" t="s">
        <v>10</v>
      </c>
      <c r="L291" s="16" t="s">
        <v>10</v>
      </c>
      <c r="M291" s="3" t="s">
        <v>14</v>
      </c>
      <c r="N291" s="3" t="s">
        <v>15</v>
      </c>
      <c r="O291" s="3" t="s">
        <v>10</v>
      </c>
    </row>
    <row r="292" spans="1:15" x14ac:dyDescent="0.3">
      <c r="A292" s="42">
        <v>43305</v>
      </c>
      <c r="B292" s="3" t="s">
        <v>865</v>
      </c>
      <c r="C292" s="2" t="s">
        <v>864</v>
      </c>
      <c r="D292" s="3">
        <v>3</v>
      </c>
      <c r="E292" s="15">
        <v>5.0003000000000002</v>
      </c>
      <c r="F292" s="15">
        <v>81.912199999999999</v>
      </c>
      <c r="G292" s="15">
        <v>82.476299999999995</v>
      </c>
      <c r="H292" s="15"/>
      <c r="I292" s="63">
        <f t="shared" si="4"/>
        <v>11.281323120612688</v>
      </c>
      <c r="J292" s="16" t="s">
        <v>10</v>
      </c>
      <c r="K292" s="56" t="s">
        <v>10</v>
      </c>
      <c r="L292" s="16" t="s">
        <v>10</v>
      </c>
      <c r="M292" s="3" t="s">
        <v>14</v>
      </c>
      <c r="N292" s="3" t="s">
        <v>15</v>
      </c>
      <c r="O292" s="3" t="s">
        <v>10</v>
      </c>
    </row>
    <row r="293" spans="1:15" x14ac:dyDescent="0.3">
      <c r="A293" s="42">
        <v>43305</v>
      </c>
      <c r="B293" s="3" t="s">
        <v>866</v>
      </c>
      <c r="C293" s="2" t="s">
        <v>867</v>
      </c>
      <c r="D293" s="3">
        <v>4</v>
      </c>
      <c r="E293" s="15">
        <v>5.0003000000000002</v>
      </c>
      <c r="F293" s="15">
        <v>84.418099999999995</v>
      </c>
      <c r="G293" s="15">
        <v>85.202799999999996</v>
      </c>
      <c r="H293" s="15"/>
      <c r="I293" s="63">
        <f t="shared" si="4"/>
        <v>15.693058416495026</v>
      </c>
      <c r="J293" s="16" t="s">
        <v>10</v>
      </c>
      <c r="K293" s="56" t="s">
        <v>10</v>
      </c>
      <c r="L293" s="16" t="s">
        <v>10</v>
      </c>
      <c r="M293" s="3" t="s">
        <v>14</v>
      </c>
      <c r="N293" s="3" t="s">
        <v>15</v>
      </c>
      <c r="O293" s="3" t="s">
        <v>10</v>
      </c>
    </row>
    <row r="294" spans="1:15" x14ac:dyDescent="0.3">
      <c r="A294" s="42">
        <v>43305</v>
      </c>
      <c r="B294" s="3" t="s">
        <v>868</v>
      </c>
      <c r="C294" s="2" t="s">
        <v>869</v>
      </c>
      <c r="D294" s="3">
        <v>5</v>
      </c>
      <c r="E294" s="15">
        <v>5.0003000000000002</v>
      </c>
      <c r="F294" s="15">
        <v>88.492500000000007</v>
      </c>
      <c r="G294" s="15">
        <v>88.819000000000003</v>
      </c>
      <c r="H294" s="15"/>
      <c r="I294" s="63">
        <f t="shared" si="4"/>
        <v>6.5296082235065054</v>
      </c>
      <c r="J294" s="16" t="s">
        <v>10</v>
      </c>
      <c r="K294" s="56" t="s">
        <v>10</v>
      </c>
      <c r="L294" s="16" t="s">
        <v>10</v>
      </c>
      <c r="M294" s="3" t="s">
        <v>14</v>
      </c>
      <c r="N294" s="3" t="s">
        <v>15</v>
      </c>
      <c r="O294" s="3" t="s">
        <v>10</v>
      </c>
    </row>
    <row r="295" spans="1:15" x14ac:dyDescent="0.3">
      <c r="A295" s="42">
        <v>43305</v>
      </c>
      <c r="B295" s="3" t="s">
        <v>870</v>
      </c>
      <c r="C295" s="2" t="s">
        <v>871</v>
      </c>
      <c r="D295" s="3">
        <v>6</v>
      </c>
      <c r="E295" s="15">
        <v>5.0004999999999997</v>
      </c>
      <c r="F295" s="15">
        <v>87.901200000000003</v>
      </c>
      <c r="G295" s="15">
        <v>88.308000000000007</v>
      </c>
      <c r="H295" s="15"/>
      <c r="I295" s="63">
        <f t="shared" si="4"/>
        <v>8.1351864813519459</v>
      </c>
      <c r="J295" s="16" t="s">
        <v>10</v>
      </c>
      <c r="K295" s="56" t="s">
        <v>10</v>
      </c>
      <c r="L295" s="16" t="s">
        <v>10</v>
      </c>
      <c r="M295" s="3" t="s">
        <v>14</v>
      </c>
      <c r="N295" s="3" t="s">
        <v>15</v>
      </c>
      <c r="O295" s="3" t="s">
        <v>10</v>
      </c>
    </row>
    <row r="296" spans="1:15" x14ac:dyDescent="0.3">
      <c r="A296" s="42">
        <v>43313</v>
      </c>
      <c r="B296" s="3" t="s">
        <v>878</v>
      </c>
      <c r="C296" s="2" t="s">
        <v>703</v>
      </c>
      <c r="D296" s="3">
        <v>1</v>
      </c>
      <c r="E296" s="15">
        <v>5.0007999999999999</v>
      </c>
      <c r="F296" s="15">
        <v>81.872600000000006</v>
      </c>
      <c r="G296" s="15">
        <v>81.994200000000006</v>
      </c>
      <c r="H296" s="15"/>
      <c r="I296" s="63">
        <f t="shared" si="4"/>
        <v>2.4316109422492564</v>
      </c>
      <c r="J296" s="16" t="s">
        <v>10</v>
      </c>
      <c r="K296" s="56" t="s">
        <v>10</v>
      </c>
      <c r="L296" s="16" t="s">
        <v>10</v>
      </c>
      <c r="M296" s="3" t="s">
        <v>14</v>
      </c>
      <c r="N296" s="3" t="s">
        <v>15</v>
      </c>
      <c r="O296" s="3" t="s">
        <v>10</v>
      </c>
    </row>
    <row r="297" spans="1:15" x14ac:dyDescent="0.3">
      <c r="A297" s="42">
        <v>43313</v>
      </c>
      <c r="B297" s="3" t="s">
        <v>879</v>
      </c>
      <c r="C297" s="2" t="s">
        <v>881</v>
      </c>
      <c r="D297" s="3">
        <v>2</v>
      </c>
      <c r="E297" s="15">
        <v>5.0004999999999997</v>
      </c>
      <c r="F297" s="15">
        <v>88.537700000000001</v>
      </c>
      <c r="G297" s="15">
        <v>88.653300000000002</v>
      </c>
      <c r="H297" s="15"/>
      <c r="I297" s="63">
        <f t="shared" si="4"/>
        <v>2.3117688231177</v>
      </c>
      <c r="J297" s="16" t="s">
        <v>10</v>
      </c>
      <c r="K297" s="56" t="s">
        <v>10</v>
      </c>
      <c r="L297" s="16" t="s">
        <v>10</v>
      </c>
      <c r="M297" s="3" t="s">
        <v>14</v>
      </c>
      <c r="N297" s="3" t="s">
        <v>15</v>
      </c>
      <c r="O297" s="3" t="s">
        <v>10</v>
      </c>
    </row>
    <row r="298" spans="1:15" x14ac:dyDescent="0.3">
      <c r="A298" s="42">
        <v>43313</v>
      </c>
      <c r="B298" s="3" t="s">
        <v>818</v>
      </c>
      <c r="C298" s="2" t="s">
        <v>819</v>
      </c>
      <c r="D298" s="3">
        <v>3</v>
      </c>
      <c r="E298" s="15">
        <v>5.0000999999999998</v>
      </c>
      <c r="F298" s="15">
        <v>89.489900000000006</v>
      </c>
      <c r="G298" s="15">
        <v>89.624399999999994</v>
      </c>
      <c r="H298" s="15"/>
      <c r="I298" s="63">
        <f t="shared" si="4"/>
        <v>2.6899462010757489</v>
      </c>
      <c r="J298" s="16" t="s">
        <v>10</v>
      </c>
      <c r="K298" s="56" t="s">
        <v>10</v>
      </c>
      <c r="L298" s="16" t="s">
        <v>10</v>
      </c>
      <c r="M298" s="3" t="s">
        <v>14</v>
      </c>
      <c r="N298" s="3" t="s">
        <v>15</v>
      </c>
      <c r="O298" s="3" t="s">
        <v>10</v>
      </c>
    </row>
    <row r="299" spans="1:15" x14ac:dyDescent="0.3">
      <c r="A299" s="42">
        <v>43313</v>
      </c>
      <c r="B299" s="3" t="s">
        <v>880</v>
      </c>
      <c r="C299" s="2" t="s">
        <v>882</v>
      </c>
      <c r="D299" s="3">
        <v>4</v>
      </c>
      <c r="E299" s="15">
        <v>5.0003000000000002</v>
      </c>
      <c r="F299" s="15">
        <v>86.595299999999995</v>
      </c>
      <c r="G299" s="15">
        <v>86.733599999999996</v>
      </c>
      <c r="H299" s="15"/>
      <c r="I299" s="63">
        <f t="shared" si="4"/>
        <v>2.7658340499570224</v>
      </c>
      <c r="J299" s="201">
        <f>+AVERAGE(I299:I300)</f>
        <v>2.7897763390470582</v>
      </c>
      <c r="K299" s="230">
        <f>+STDEVA(I299:I300)</f>
        <v>3.3859509945386043E-2</v>
      </c>
      <c r="L299" s="230">
        <f>+(K299/J299)*100</f>
        <v>1.213699803510123</v>
      </c>
      <c r="M299" s="3" t="s">
        <v>14</v>
      </c>
      <c r="N299" s="3" t="s">
        <v>15</v>
      </c>
      <c r="O299" s="202" t="s">
        <v>883</v>
      </c>
    </row>
    <row r="300" spans="1:15" x14ac:dyDescent="0.3">
      <c r="A300" s="42">
        <v>43313</v>
      </c>
      <c r="B300" s="3" t="s">
        <v>880</v>
      </c>
      <c r="C300" s="2" t="s">
        <v>882</v>
      </c>
      <c r="D300" s="3">
        <v>5</v>
      </c>
      <c r="E300" s="15">
        <v>5.0004999999999997</v>
      </c>
      <c r="F300" s="15">
        <v>84.438299999999998</v>
      </c>
      <c r="G300" s="15">
        <v>84.578999999999994</v>
      </c>
      <c r="H300" s="15"/>
      <c r="I300" s="63">
        <f t="shared" si="4"/>
        <v>2.8137186281370941</v>
      </c>
      <c r="J300" s="201"/>
      <c r="K300" s="230"/>
      <c r="L300" s="230"/>
      <c r="M300" s="3" t="s">
        <v>14</v>
      </c>
      <c r="N300" s="3" t="s">
        <v>15</v>
      </c>
      <c r="O300" s="202"/>
    </row>
    <row r="301" spans="1:15" x14ac:dyDescent="0.3">
      <c r="A301" s="42">
        <v>43313</v>
      </c>
      <c r="B301" s="3" t="s">
        <v>10</v>
      </c>
      <c r="C301" s="2" t="s">
        <v>862</v>
      </c>
      <c r="D301" s="3">
        <v>6</v>
      </c>
      <c r="E301" s="15">
        <v>0</v>
      </c>
      <c r="F301" s="15">
        <v>88.158500000000004</v>
      </c>
      <c r="G301" s="15">
        <v>88.158600000000007</v>
      </c>
      <c r="H301" s="15"/>
      <c r="I301" s="63" t="e">
        <f t="shared" si="4"/>
        <v>#DIV/0!</v>
      </c>
      <c r="J301" s="16" t="s">
        <v>10</v>
      </c>
      <c r="K301" s="16" t="s">
        <v>10</v>
      </c>
      <c r="L301" s="16" t="s">
        <v>10</v>
      </c>
      <c r="M301" s="3" t="s">
        <v>14</v>
      </c>
      <c r="N301" s="3" t="s">
        <v>15</v>
      </c>
      <c r="O301" s="3" t="s">
        <v>10</v>
      </c>
    </row>
    <row r="302" spans="1:15" x14ac:dyDescent="0.3">
      <c r="A302" s="42">
        <v>43314</v>
      </c>
      <c r="B302" s="3" t="s">
        <v>919</v>
      </c>
      <c r="C302" s="2" t="s">
        <v>862</v>
      </c>
      <c r="D302" s="3">
        <v>1</v>
      </c>
      <c r="E302" s="15">
        <v>5.0003000000000002</v>
      </c>
      <c r="F302" s="15">
        <v>86.596100000000007</v>
      </c>
      <c r="G302" s="15">
        <v>86.700999999999993</v>
      </c>
      <c r="H302" s="15"/>
      <c r="I302" s="63">
        <f t="shared" si="4"/>
        <v>2.0978741275520756</v>
      </c>
      <c r="J302" s="201">
        <f>+AVERAGE(I302:I303)</f>
        <v>2.0628356739150053</v>
      </c>
      <c r="K302" s="230">
        <f>+STDEVA(I302:I303)</f>
        <v>4.9551856338125339E-2</v>
      </c>
      <c r="L302" s="230">
        <f>+(K302/J302)*100</f>
        <v>2.4021232987541894</v>
      </c>
      <c r="M302" s="3" t="s">
        <v>14</v>
      </c>
      <c r="N302" s="3" t="s">
        <v>15</v>
      </c>
      <c r="O302" s="202" t="s">
        <v>883</v>
      </c>
    </row>
    <row r="303" spans="1:15" x14ac:dyDescent="0.3">
      <c r="A303" s="42">
        <v>43314</v>
      </c>
      <c r="B303" s="3" t="s">
        <v>919</v>
      </c>
      <c r="C303" s="2" t="s">
        <v>918</v>
      </c>
      <c r="D303" s="3">
        <v>2</v>
      </c>
      <c r="E303" s="15">
        <v>5.0004999999999997</v>
      </c>
      <c r="F303" s="15">
        <v>86.570700000000002</v>
      </c>
      <c r="G303" s="15">
        <v>86.6721</v>
      </c>
      <c r="H303" s="15"/>
      <c r="I303" s="63">
        <f t="shared" si="4"/>
        <v>2.0277972202779355</v>
      </c>
      <c r="J303" s="201"/>
      <c r="K303" s="230"/>
      <c r="L303" s="230"/>
      <c r="M303" s="3" t="s">
        <v>14</v>
      </c>
      <c r="N303" s="3" t="s">
        <v>15</v>
      </c>
      <c r="O303" s="202"/>
    </row>
    <row r="304" spans="1:15" x14ac:dyDescent="0.3">
      <c r="A304" s="42">
        <v>43313</v>
      </c>
      <c r="B304" s="3" t="s">
        <v>928</v>
      </c>
      <c r="C304" s="104" t="s">
        <v>929</v>
      </c>
      <c r="D304" s="3">
        <v>3</v>
      </c>
      <c r="E304" s="15">
        <v>2.0003000000000002</v>
      </c>
      <c r="F304" s="15">
        <v>88.537199999999999</v>
      </c>
      <c r="G304" s="15">
        <v>88.537099999999995</v>
      </c>
      <c r="H304" s="15"/>
      <c r="I304" s="16">
        <f t="shared" si="4"/>
        <v>-4.9992501126490847E-3</v>
      </c>
      <c r="J304" s="16" t="s">
        <v>10</v>
      </c>
      <c r="K304" s="16" t="s">
        <v>10</v>
      </c>
      <c r="L304" s="16" t="s">
        <v>10</v>
      </c>
      <c r="M304" s="3" t="s">
        <v>14</v>
      </c>
      <c r="N304" s="3"/>
      <c r="O304" s="3" t="s">
        <v>10</v>
      </c>
    </row>
  </sheetData>
  <protectedRanges>
    <protectedRange algorithmName="SHA-512" hashValue="aeQZ7aTy9blL5QAkpmnaAc28coLeTnY9rzpR5I3ItiV4n+W6nWb4uRaJfaHZmdtPakKQLqUykKyGAVFHi8b5GQ==" saltValue="AiiHRArltpPSu3as4iqmuw==" spinCount="100000" sqref="I211" name="Calculo Cenizas"/>
  </protectedRanges>
  <autoFilter ref="A7:O304" xr:uid="{00000000-0009-0000-0000-000005000000}"/>
  <mergeCells count="38">
    <mergeCell ref="J299:J300"/>
    <mergeCell ref="K299:K300"/>
    <mergeCell ref="L299:L300"/>
    <mergeCell ref="O299:O300"/>
    <mergeCell ref="J277:J278"/>
    <mergeCell ref="K277:K278"/>
    <mergeCell ref="L277:L278"/>
    <mergeCell ref="J279:J280"/>
    <mergeCell ref="K279:K280"/>
    <mergeCell ref="L279:L280"/>
    <mergeCell ref="O7:O8"/>
    <mergeCell ref="H7:H8"/>
    <mergeCell ref="A7:A8"/>
    <mergeCell ref="B7:B8"/>
    <mergeCell ref="D7:D8"/>
    <mergeCell ref="E7:E8"/>
    <mergeCell ref="C7:C8"/>
    <mergeCell ref="F7:F8"/>
    <mergeCell ref="G7:G8"/>
    <mergeCell ref="I7:I8"/>
    <mergeCell ref="M7:M8"/>
    <mergeCell ref="N7:N8"/>
    <mergeCell ref="J302:J303"/>
    <mergeCell ref="K302:K303"/>
    <mergeCell ref="L302:L303"/>
    <mergeCell ref="O302:O303"/>
    <mergeCell ref="A1:B3"/>
    <mergeCell ref="M1:O1"/>
    <mergeCell ref="M2:O2"/>
    <mergeCell ref="M3:O3"/>
    <mergeCell ref="A4:O4"/>
    <mergeCell ref="C1:L3"/>
    <mergeCell ref="A5:D5"/>
    <mergeCell ref="H5:M5"/>
    <mergeCell ref="A6:B6"/>
    <mergeCell ref="F6:G6"/>
    <mergeCell ref="I6:M6"/>
    <mergeCell ref="D6:E6"/>
  </mergeCells>
  <pageMargins left="0.7" right="0.7" top="0.75" bottom="0.75" header="0.3" footer="0.3"/>
  <pageSetup scale="10" orientation="landscape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500-000000000000}">
          <x14:formula1>
            <xm:f>'Z:\REGISTROS\REGISTROS RT\Cuadros de Mando 2018-2\[Plantilla Humedad.xlsx]Límites Gráfico'!#REF!</xm:f>
          </x14:formula1>
          <xm:sqref>C304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139"/>
  <sheetViews>
    <sheetView zoomScale="90" zoomScaleNormal="90" workbookViewId="0">
      <selection activeCell="U31" sqref="U31"/>
    </sheetView>
  </sheetViews>
  <sheetFormatPr baseColWidth="10" defaultRowHeight="15" x14ac:dyDescent="0.3"/>
  <cols>
    <col min="2" max="2" width="76.25" customWidth="1"/>
    <col min="3" max="3" width="16.5" style="14" customWidth="1"/>
    <col min="7" max="7" width="24.625" customWidth="1"/>
    <col min="9" max="10" width="13.375" customWidth="1"/>
    <col min="11" max="11" width="25.875" customWidth="1"/>
  </cols>
  <sheetData>
    <row r="1" spans="1:17" ht="52.5" x14ac:dyDescent="0.3">
      <c r="A1" s="52" t="s">
        <v>221</v>
      </c>
      <c r="B1" s="52" t="s">
        <v>222</v>
      </c>
      <c r="C1" s="52" t="s">
        <v>223</v>
      </c>
      <c r="D1" s="52" t="s">
        <v>224</v>
      </c>
      <c r="E1" s="52" t="s">
        <v>225</v>
      </c>
      <c r="F1" s="52" t="s">
        <v>226</v>
      </c>
      <c r="G1" s="52" t="s">
        <v>227</v>
      </c>
      <c r="H1" s="52" t="s">
        <v>228</v>
      </c>
      <c r="I1" s="52" t="s">
        <v>229</v>
      </c>
      <c r="J1" s="52" t="s">
        <v>230</v>
      </c>
      <c r="K1" s="52" t="s">
        <v>231</v>
      </c>
      <c r="L1" s="145" t="s">
        <v>232</v>
      </c>
      <c r="M1" s="145" t="s">
        <v>233</v>
      </c>
      <c r="N1" s="145" t="s">
        <v>234</v>
      </c>
      <c r="O1" s="145" t="s">
        <v>235</v>
      </c>
      <c r="P1" s="144" t="s">
        <v>1208</v>
      </c>
      <c r="Q1" s="144" t="s">
        <v>1209</v>
      </c>
    </row>
    <row r="2" spans="1:17" ht="16.5" x14ac:dyDescent="0.3">
      <c r="A2" s="37">
        <v>43161</v>
      </c>
      <c r="B2" s="2" t="s">
        <v>236</v>
      </c>
      <c r="C2" s="3" t="s">
        <v>10</v>
      </c>
      <c r="D2" s="2" t="s">
        <v>127</v>
      </c>
      <c r="E2" s="2">
        <v>45.96</v>
      </c>
      <c r="F2" s="2">
        <v>4</v>
      </c>
      <c r="G2" s="2">
        <v>45.9833</v>
      </c>
      <c r="H2" s="2">
        <v>2.3299999999998988E-2</v>
      </c>
      <c r="I2" s="51"/>
      <c r="J2" s="38">
        <v>3.4334763948419326E-2</v>
      </c>
      <c r="K2" s="278">
        <f>+((H2+H3)/2)-I3-J2</f>
        <v>-0.38189962881308098</v>
      </c>
      <c r="L2" s="2" t="s">
        <v>10</v>
      </c>
      <c r="M2" s="2" t="s">
        <v>10</v>
      </c>
      <c r="N2" s="2" t="s">
        <v>10</v>
      </c>
      <c r="O2" s="2" t="s">
        <v>10</v>
      </c>
      <c r="P2" s="2" t="s">
        <v>14</v>
      </c>
      <c r="Q2" s="2" t="s">
        <v>15</v>
      </c>
    </row>
    <row r="3" spans="1:17" ht="16.5" x14ac:dyDescent="0.3">
      <c r="A3" s="37">
        <v>43161</v>
      </c>
      <c r="B3" s="2" t="s">
        <v>237</v>
      </c>
      <c r="C3" s="3" t="s">
        <v>10</v>
      </c>
      <c r="D3" s="2" t="s">
        <v>127</v>
      </c>
      <c r="E3" s="2">
        <v>46.534999999999997</v>
      </c>
      <c r="F3" s="2">
        <v>5</v>
      </c>
      <c r="G3" s="2">
        <v>46.546100000000003</v>
      </c>
      <c r="H3" s="2">
        <v>1.1100000000006105E-2</v>
      </c>
      <c r="I3" s="38">
        <v>0.3647648648646642</v>
      </c>
      <c r="J3" s="51"/>
      <c r="K3" s="278"/>
      <c r="L3" s="2" t="s">
        <v>10</v>
      </c>
      <c r="M3" s="2" t="s">
        <v>10</v>
      </c>
      <c r="N3" s="2" t="s">
        <v>10</v>
      </c>
      <c r="O3" s="2" t="s">
        <v>10</v>
      </c>
      <c r="P3" s="2" t="s">
        <v>14</v>
      </c>
      <c r="Q3" s="2" t="s">
        <v>15</v>
      </c>
    </row>
    <row r="4" spans="1:17" ht="16.5" x14ac:dyDescent="0.3">
      <c r="A4" s="37">
        <v>43161</v>
      </c>
      <c r="B4" s="2" t="s">
        <v>238</v>
      </c>
      <c r="C4" s="3" t="s">
        <v>10</v>
      </c>
      <c r="D4" s="2" t="s">
        <v>127</v>
      </c>
      <c r="E4" s="2">
        <v>46.223399999999998</v>
      </c>
      <c r="F4" s="2">
        <v>3</v>
      </c>
      <c r="G4" s="2">
        <v>46.2136</v>
      </c>
      <c r="H4" s="2">
        <v>-9.7999999999984766E-3</v>
      </c>
      <c r="I4" s="51"/>
      <c r="J4" s="38">
        <v>0</v>
      </c>
      <c r="K4" s="278">
        <v>0</v>
      </c>
      <c r="L4" s="2" t="s">
        <v>10</v>
      </c>
      <c r="M4" s="2" t="s">
        <v>10</v>
      </c>
      <c r="N4" s="2" t="s">
        <v>10</v>
      </c>
      <c r="O4" s="2" t="s">
        <v>10</v>
      </c>
      <c r="P4" s="2" t="s">
        <v>14</v>
      </c>
      <c r="Q4" s="2" t="s">
        <v>15</v>
      </c>
    </row>
    <row r="5" spans="1:17" ht="16.5" x14ac:dyDescent="0.3">
      <c r="A5" s="37">
        <v>43161</v>
      </c>
      <c r="B5" s="2" t="s">
        <v>239</v>
      </c>
      <c r="C5" s="3" t="s">
        <v>10</v>
      </c>
      <c r="D5" s="2" t="s">
        <v>127</v>
      </c>
      <c r="E5" s="2">
        <v>46.300600000000003</v>
      </c>
      <c r="F5" s="2">
        <v>4</v>
      </c>
      <c r="G5" s="2">
        <v>46.295400000000001</v>
      </c>
      <c r="H5" s="2">
        <v>-5.2000000000020918E-3</v>
      </c>
      <c r="I5" s="38">
        <v>0</v>
      </c>
      <c r="J5" s="51"/>
      <c r="K5" s="278"/>
      <c r="L5" s="2" t="s">
        <v>10</v>
      </c>
      <c r="M5" s="2" t="s">
        <v>10</v>
      </c>
      <c r="N5" s="2" t="s">
        <v>10</v>
      </c>
      <c r="O5" s="2" t="s">
        <v>10</v>
      </c>
      <c r="P5" s="2" t="s">
        <v>14</v>
      </c>
      <c r="Q5" s="2" t="s">
        <v>15</v>
      </c>
    </row>
    <row r="6" spans="1:17" ht="16.5" x14ac:dyDescent="0.3">
      <c r="A6" s="37">
        <v>43161</v>
      </c>
      <c r="B6" s="1" t="s">
        <v>240</v>
      </c>
      <c r="C6" s="3" t="s">
        <v>10</v>
      </c>
      <c r="D6" s="2" t="s">
        <v>127</v>
      </c>
      <c r="E6" s="2">
        <v>45.258299999999998</v>
      </c>
      <c r="F6" s="2">
        <v>7</v>
      </c>
      <c r="G6" s="2">
        <v>45.256100000000004</v>
      </c>
      <c r="H6" s="2">
        <f t="shared" ref="H6:H18" si="0">+G6-E6</f>
        <v>-2.1999999999948727E-3</v>
      </c>
      <c r="I6" s="51"/>
      <c r="J6" s="38">
        <v>0</v>
      </c>
      <c r="K6" s="278">
        <v>0</v>
      </c>
      <c r="L6" s="2" t="s">
        <v>10</v>
      </c>
      <c r="M6" s="2" t="s">
        <v>10</v>
      </c>
      <c r="N6" s="2" t="s">
        <v>10</v>
      </c>
      <c r="O6" s="2" t="s">
        <v>10</v>
      </c>
      <c r="P6" s="2" t="s">
        <v>14</v>
      </c>
      <c r="Q6" s="2" t="s">
        <v>15</v>
      </c>
    </row>
    <row r="7" spans="1:17" ht="16.5" x14ac:dyDescent="0.3">
      <c r="A7" s="37">
        <v>43161</v>
      </c>
      <c r="B7" s="1" t="s">
        <v>241</v>
      </c>
      <c r="C7" s="3" t="s">
        <v>10</v>
      </c>
      <c r="D7" s="2" t="s">
        <v>127</v>
      </c>
      <c r="E7" s="2">
        <v>45.655099999999997</v>
      </c>
      <c r="F7" s="2">
        <v>8</v>
      </c>
      <c r="G7" s="2">
        <v>45.654800000000002</v>
      </c>
      <c r="H7" s="2">
        <f t="shared" si="0"/>
        <v>-2.9999999999574811E-4</v>
      </c>
      <c r="I7" s="38">
        <v>0</v>
      </c>
      <c r="J7" s="51"/>
      <c r="K7" s="278"/>
      <c r="L7" s="2" t="s">
        <v>10</v>
      </c>
      <c r="M7" s="2" t="s">
        <v>10</v>
      </c>
      <c r="N7" s="2" t="s">
        <v>10</v>
      </c>
      <c r="O7" s="2" t="s">
        <v>10</v>
      </c>
      <c r="P7" s="2" t="s">
        <v>14</v>
      </c>
      <c r="Q7" s="2" t="s">
        <v>15</v>
      </c>
    </row>
    <row r="8" spans="1:17" ht="16.5" x14ac:dyDescent="0.3">
      <c r="A8" s="37">
        <v>43161</v>
      </c>
      <c r="B8" s="2" t="s">
        <v>155</v>
      </c>
      <c r="C8" s="3" t="s">
        <v>154</v>
      </c>
      <c r="D8" s="2">
        <v>1.0008999999999999</v>
      </c>
      <c r="E8" s="2">
        <v>45.680999999999997</v>
      </c>
      <c r="F8" s="2">
        <v>7</v>
      </c>
      <c r="G8" s="2">
        <v>45.827500000000001</v>
      </c>
      <c r="H8" s="4">
        <f t="shared" si="0"/>
        <v>0.14650000000000318</v>
      </c>
      <c r="I8" s="38">
        <f>+'PROTEÍNA AOAC 2001.11'!I20/100</f>
        <v>0.21887636518770859</v>
      </c>
      <c r="J8" s="51"/>
      <c r="K8" s="204" t="e">
        <f>(((H8+H9)/2)-I8-J9-$K$2)/((D8+D9)/2)*100</f>
        <v>#REF!</v>
      </c>
      <c r="L8" s="204" t="e">
        <f>+K8*(100-'GRASA AOAC 920.39'!I49-#REF!)/100</f>
        <v>#REF!</v>
      </c>
      <c r="M8" s="2" t="s">
        <v>10</v>
      </c>
      <c r="N8" s="2" t="s">
        <v>10</v>
      </c>
      <c r="O8" s="2" t="s">
        <v>10</v>
      </c>
      <c r="P8" s="2" t="s">
        <v>14</v>
      </c>
      <c r="Q8" s="2" t="s">
        <v>15</v>
      </c>
    </row>
    <row r="9" spans="1:17" ht="16.5" x14ac:dyDescent="0.3">
      <c r="A9" s="37">
        <v>43161</v>
      </c>
      <c r="B9" s="2" t="s">
        <v>155</v>
      </c>
      <c r="C9" s="3" t="s">
        <v>154</v>
      </c>
      <c r="D9" s="2">
        <v>1.0008999999999999</v>
      </c>
      <c r="E9" s="2">
        <v>45.611400000000003</v>
      </c>
      <c r="F9" s="2">
        <v>1</v>
      </c>
      <c r="G9" s="2">
        <v>45.781399999999998</v>
      </c>
      <c r="H9" s="4">
        <f t="shared" si="0"/>
        <v>0.1699999999999946</v>
      </c>
      <c r="I9" s="51"/>
      <c r="J9" s="38" t="e">
        <f>+#REF!/100</f>
        <v>#REF!</v>
      </c>
      <c r="K9" s="204"/>
      <c r="L9" s="204"/>
      <c r="M9" s="2" t="s">
        <v>10</v>
      </c>
      <c r="N9" s="2" t="s">
        <v>10</v>
      </c>
      <c r="O9" s="2" t="s">
        <v>10</v>
      </c>
      <c r="P9" s="2" t="s">
        <v>14</v>
      </c>
      <c r="Q9" s="2" t="s">
        <v>15</v>
      </c>
    </row>
    <row r="10" spans="1:17" ht="16.5" x14ac:dyDescent="0.3">
      <c r="A10" s="37">
        <v>43171</v>
      </c>
      <c r="B10" s="2" t="s">
        <v>266</v>
      </c>
      <c r="C10" s="3" t="s">
        <v>265</v>
      </c>
      <c r="D10" s="2">
        <v>1.0008999999999999</v>
      </c>
      <c r="E10" s="2">
        <v>47.3</v>
      </c>
      <c r="F10" s="2">
        <v>1</v>
      </c>
      <c r="G10" s="2">
        <v>47.492100000000001</v>
      </c>
      <c r="H10" s="2">
        <f t="shared" si="0"/>
        <v>0.19210000000000349</v>
      </c>
      <c r="I10" s="38">
        <f>+'PROTEÍNA AOAC 2001.11'!I30/100</f>
        <v>0.21195503643935068</v>
      </c>
      <c r="J10" s="51"/>
      <c r="K10" s="204" t="e">
        <f>(((H10+H11)/2)-I10-J11-$K$2)/((D10+D11)/2)*100</f>
        <v>#REF!</v>
      </c>
      <c r="L10" s="204" t="e">
        <f>+K10*(100-'GRASA AOAC 920.39'!I57)/100</f>
        <v>#REF!</v>
      </c>
      <c r="M10" s="2" t="s">
        <v>10</v>
      </c>
      <c r="N10" s="2" t="s">
        <v>10</v>
      </c>
      <c r="O10" s="2" t="s">
        <v>10</v>
      </c>
      <c r="P10" s="2" t="s">
        <v>14</v>
      </c>
      <c r="Q10" s="2" t="s">
        <v>15</v>
      </c>
    </row>
    <row r="11" spans="1:17" ht="16.5" x14ac:dyDescent="0.3">
      <c r="A11" s="37">
        <v>43171</v>
      </c>
      <c r="B11" s="2" t="s">
        <v>266</v>
      </c>
      <c r="C11" s="3" t="s">
        <v>265</v>
      </c>
      <c r="D11" s="2">
        <v>1.0008999999999999</v>
      </c>
      <c r="E11" s="2">
        <v>45.970700000000001</v>
      </c>
      <c r="F11" s="2">
        <v>3</v>
      </c>
      <c r="G11" s="2">
        <v>46.147199999999998</v>
      </c>
      <c r="H11" s="2">
        <f t="shared" si="0"/>
        <v>0.17649999999999721</v>
      </c>
      <c r="I11" s="51"/>
      <c r="J11" s="38" t="e">
        <f>+#REF!/100</f>
        <v>#REF!</v>
      </c>
      <c r="K11" s="204"/>
      <c r="L11" s="204"/>
      <c r="M11" s="2" t="s">
        <v>10</v>
      </c>
      <c r="N11" s="2" t="s">
        <v>10</v>
      </c>
      <c r="O11" s="2" t="s">
        <v>10</v>
      </c>
      <c r="P11" s="2" t="s">
        <v>14</v>
      </c>
      <c r="Q11" s="2" t="s">
        <v>15</v>
      </c>
    </row>
    <row r="12" spans="1:17" ht="16.5" x14ac:dyDescent="0.3">
      <c r="A12" s="37">
        <v>43171</v>
      </c>
      <c r="B12" s="2" t="s">
        <v>219</v>
      </c>
      <c r="C12" s="3" t="s">
        <v>220</v>
      </c>
      <c r="D12" s="2">
        <v>1.0008999999999999</v>
      </c>
      <c r="E12" s="2">
        <v>46.287100000000002</v>
      </c>
      <c r="F12" s="2">
        <v>4</v>
      </c>
      <c r="G12" s="2">
        <v>46.3048</v>
      </c>
      <c r="H12" s="2">
        <f t="shared" si="0"/>
        <v>1.7699999999997829E-2</v>
      </c>
      <c r="I12" s="38">
        <f>+'PROTEÍNA AOAC 2001.11'!I38/100</f>
        <v>0.66191313559330156</v>
      </c>
      <c r="J12" s="51"/>
      <c r="K12" s="204" t="e">
        <f>(((H12+H13)/2)-I12-J13-$K$2)/((D12+D13)/2)*100</f>
        <v>#REF!</v>
      </c>
      <c r="L12" s="204">
        <v>0</v>
      </c>
      <c r="M12" s="2" t="s">
        <v>10</v>
      </c>
      <c r="N12" s="2" t="s">
        <v>10</v>
      </c>
      <c r="O12" s="2" t="s">
        <v>10</v>
      </c>
      <c r="P12" s="2" t="s">
        <v>14</v>
      </c>
      <c r="Q12" s="2" t="s">
        <v>15</v>
      </c>
    </row>
    <row r="13" spans="1:17" ht="16.5" x14ac:dyDescent="0.3">
      <c r="A13" s="37">
        <v>43171</v>
      </c>
      <c r="B13" s="2" t="s">
        <v>219</v>
      </c>
      <c r="C13" s="3" t="s">
        <v>220</v>
      </c>
      <c r="D13" s="2">
        <v>1.0001</v>
      </c>
      <c r="E13" s="2">
        <v>46.7575</v>
      </c>
      <c r="F13" s="2">
        <v>2</v>
      </c>
      <c r="G13" s="2">
        <v>46.7759</v>
      </c>
      <c r="H13" s="2">
        <f t="shared" si="0"/>
        <v>1.839999999999975E-2</v>
      </c>
      <c r="I13" s="51"/>
      <c r="J13" s="38" t="e">
        <f>+#REF!/100</f>
        <v>#REF!</v>
      </c>
      <c r="K13" s="204"/>
      <c r="L13" s="204"/>
      <c r="M13" s="2" t="s">
        <v>10</v>
      </c>
      <c r="N13" s="2" t="s">
        <v>10</v>
      </c>
      <c r="O13" s="2" t="s">
        <v>10</v>
      </c>
      <c r="P13" s="2" t="s">
        <v>14</v>
      </c>
      <c r="Q13" s="2" t="s">
        <v>15</v>
      </c>
    </row>
    <row r="14" spans="1:17" ht="16.5" x14ac:dyDescent="0.3">
      <c r="A14" s="37">
        <v>43183</v>
      </c>
      <c r="B14" s="2" t="s">
        <v>299</v>
      </c>
      <c r="C14" s="3" t="s">
        <v>298</v>
      </c>
      <c r="D14" s="2">
        <v>1.0004999999999999</v>
      </c>
      <c r="E14" s="2">
        <v>46.321899999999999</v>
      </c>
      <c r="F14" s="2">
        <v>1</v>
      </c>
      <c r="G14" s="2">
        <v>46.373800000000003</v>
      </c>
      <c r="H14" s="2">
        <f t="shared" si="0"/>
        <v>5.1900000000003388E-2</v>
      </c>
      <c r="I14" s="51"/>
      <c r="J14" s="38">
        <v>0</v>
      </c>
      <c r="K14" s="204">
        <f>(((H14+H15)/2)-I15-J14-$K$2)/((D14+D15)/2)*100</f>
        <v>11.452649114968729</v>
      </c>
      <c r="L14" s="204" t="e">
        <f>+K14*(100-'GRASA AOAC 920.39'!H76)/100</f>
        <v>#REF!</v>
      </c>
      <c r="M14" s="2" t="s">
        <v>10</v>
      </c>
      <c r="N14" s="2" t="s">
        <v>10</v>
      </c>
      <c r="O14" s="2" t="s">
        <v>10</v>
      </c>
      <c r="P14" s="2" t="s">
        <v>14</v>
      </c>
      <c r="Q14" s="2" t="s">
        <v>15</v>
      </c>
    </row>
    <row r="15" spans="1:17" ht="16.5" x14ac:dyDescent="0.3">
      <c r="A15" s="37">
        <v>43183</v>
      </c>
      <c r="B15" s="2" t="s">
        <v>299</v>
      </c>
      <c r="C15" s="3" t="s">
        <v>298</v>
      </c>
      <c r="D15" s="2">
        <v>1.0006999999999999</v>
      </c>
      <c r="E15" s="2">
        <v>47.0837</v>
      </c>
      <c r="F15" s="2">
        <v>2</v>
      </c>
      <c r="G15" s="2">
        <v>47.127800000000001</v>
      </c>
      <c r="H15" s="2">
        <f t="shared" si="0"/>
        <v>4.410000000000025E-2</v>
      </c>
      <c r="I15" s="38">
        <f>+'PROTEÍNA AOAC 2001.11'!I48/100</f>
        <v>0.31530442176870571</v>
      </c>
      <c r="J15" s="51"/>
      <c r="K15" s="204"/>
      <c r="L15" s="204"/>
      <c r="M15" s="2" t="s">
        <v>10</v>
      </c>
      <c r="N15" s="2" t="s">
        <v>10</v>
      </c>
      <c r="O15" s="2" t="s">
        <v>10</v>
      </c>
      <c r="P15" s="2" t="s">
        <v>14</v>
      </c>
      <c r="Q15" s="2" t="s">
        <v>15</v>
      </c>
    </row>
    <row r="16" spans="1:17" ht="16.5" x14ac:dyDescent="0.3">
      <c r="A16" s="37">
        <v>43183</v>
      </c>
      <c r="B16" s="2" t="s">
        <v>300</v>
      </c>
      <c r="C16" s="3" t="s">
        <v>301</v>
      </c>
      <c r="D16" s="2">
        <v>1.0005999999999999</v>
      </c>
      <c r="E16" s="2">
        <v>46.706099999999999</v>
      </c>
      <c r="F16" s="2">
        <v>3</v>
      </c>
      <c r="G16" s="2">
        <v>46.746899999999997</v>
      </c>
      <c r="H16" s="2">
        <f t="shared" si="0"/>
        <v>4.0799999999997283E-2</v>
      </c>
      <c r="I16" s="51"/>
      <c r="J16" s="38">
        <v>0</v>
      </c>
      <c r="K16" s="204">
        <f>(((H16+H17)/2)-I17-J16-$K$2)/((D16+D17)/2)*100</f>
        <v>4.2419299818069911</v>
      </c>
      <c r="L16" s="204" t="e">
        <f>+K16*(100-'GRASA AOAC 920.39'!H77)/100</f>
        <v>#REF!</v>
      </c>
      <c r="M16" s="2" t="s">
        <v>10</v>
      </c>
      <c r="N16" s="2" t="s">
        <v>10</v>
      </c>
      <c r="O16" s="2" t="s">
        <v>10</v>
      </c>
      <c r="P16" s="2" t="s">
        <v>14</v>
      </c>
      <c r="Q16" s="2" t="s">
        <v>15</v>
      </c>
    </row>
    <row r="17" spans="1:17" ht="16.5" x14ac:dyDescent="0.3">
      <c r="A17" s="37">
        <v>43183</v>
      </c>
      <c r="B17" s="45" t="s">
        <v>300</v>
      </c>
      <c r="C17" s="3" t="s">
        <v>301</v>
      </c>
      <c r="D17" s="2">
        <v>1.0003</v>
      </c>
      <c r="E17" s="2">
        <v>47.3596</v>
      </c>
      <c r="F17" s="2">
        <v>5</v>
      </c>
      <c r="G17" s="2">
        <v>47.398299999999999</v>
      </c>
      <c r="H17" s="2">
        <f t="shared" si="0"/>
        <v>3.8699999999998624E-2</v>
      </c>
      <c r="I17" s="38">
        <f>+'PROTEÍNA AOAC 2001.11'!I49/100</f>
        <v>0.3792112403100909</v>
      </c>
      <c r="J17" s="51"/>
      <c r="K17" s="204"/>
      <c r="L17" s="204"/>
      <c r="M17" s="2" t="s">
        <v>10</v>
      </c>
      <c r="N17" s="2" t="s">
        <v>10</v>
      </c>
      <c r="O17" s="2" t="s">
        <v>10</v>
      </c>
      <c r="P17" s="2" t="s">
        <v>14</v>
      </c>
      <c r="Q17" s="2" t="s">
        <v>15</v>
      </c>
    </row>
    <row r="18" spans="1:17" ht="16.5" x14ac:dyDescent="0.3">
      <c r="A18" s="37">
        <v>43187</v>
      </c>
      <c r="B18" s="2" t="s">
        <v>308</v>
      </c>
      <c r="C18" s="3" t="s">
        <v>309</v>
      </c>
      <c r="D18" s="2">
        <v>1.0007999999999999</v>
      </c>
      <c r="E18" s="2">
        <v>45.646999999999998</v>
      </c>
      <c r="F18" s="2">
        <v>1</v>
      </c>
      <c r="G18" s="2">
        <v>45.740699999999997</v>
      </c>
      <c r="H18" s="2">
        <f t="shared" si="0"/>
        <v>9.369999999999834E-2</v>
      </c>
      <c r="I18" s="51"/>
      <c r="J18" s="38" t="e">
        <f>+#REF!/100</f>
        <v>#REF!</v>
      </c>
      <c r="K18" s="204" t="e">
        <f>(((H18+H19)/2)-I19-J18-$K$2)/((D18+D19)/2)*100</f>
        <v>#REF!</v>
      </c>
      <c r="L18" s="204" t="e">
        <f>+K18*(100-'GRASA AOAC 920.39'!I80)/100</f>
        <v>#REF!</v>
      </c>
      <c r="M18" s="2" t="s">
        <v>10</v>
      </c>
      <c r="N18" s="2" t="s">
        <v>10</v>
      </c>
      <c r="O18" s="2" t="s">
        <v>10</v>
      </c>
      <c r="P18" s="2" t="s">
        <v>14</v>
      </c>
      <c r="Q18" s="2" t="s">
        <v>15</v>
      </c>
    </row>
    <row r="19" spans="1:17" ht="16.5" x14ac:dyDescent="0.3">
      <c r="A19" s="37">
        <v>43187</v>
      </c>
      <c r="B19" s="2" t="s">
        <v>308</v>
      </c>
      <c r="C19" s="3" t="s">
        <v>309</v>
      </c>
      <c r="D19" s="2">
        <v>1.0008999999999999</v>
      </c>
      <c r="E19" s="2">
        <v>47.011800000000001</v>
      </c>
      <c r="F19" s="2">
        <v>5</v>
      </c>
      <c r="G19" s="2">
        <v>47.114699999999999</v>
      </c>
      <c r="H19" s="2">
        <f t="shared" ref="H19:H137" si="1">+G19-E19</f>
        <v>0.10289999999999822</v>
      </c>
      <c r="I19" s="38">
        <f>+'PROTEÍNA AOAC 2001.11'!I58/100</f>
        <v>0.23843549562682628</v>
      </c>
      <c r="J19" s="51"/>
      <c r="K19" s="204"/>
      <c r="L19" s="204"/>
      <c r="M19" s="2" t="s">
        <v>10</v>
      </c>
      <c r="N19" s="2" t="s">
        <v>10</v>
      </c>
      <c r="O19" s="2" t="s">
        <v>10</v>
      </c>
      <c r="P19" s="2" t="s">
        <v>14</v>
      </c>
      <c r="Q19" s="2" t="s">
        <v>15</v>
      </c>
    </row>
    <row r="20" spans="1:17" ht="16.5" x14ac:dyDescent="0.3">
      <c r="A20" s="37">
        <v>43187</v>
      </c>
      <c r="B20" s="2" t="s">
        <v>310</v>
      </c>
      <c r="C20" s="3" t="s">
        <v>311</v>
      </c>
      <c r="D20" s="2">
        <v>1.0008999999999999</v>
      </c>
      <c r="E20" s="2">
        <v>46.067999999999998</v>
      </c>
      <c r="F20" s="2">
        <v>2</v>
      </c>
      <c r="G20" s="2">
        <v>46.166899999999998</v>
      </c>
      <c r="H20" s="2">
        <f t="shared" si="1"/>
        <v>9.8900000000000432E-2</v>
      </c>
      <c r="I20" s="51"/>
      <c r="J20" s="38" t="e">
        <f>+#REF!/100</f>
        <v>#REF!</v>
      </c>
      <c r="K20" s="204" t="e">
        <f>(((H20+H21)/2)-I21-J20-$K$2)/((D20+D21)/2)*100</f>
        <v>#REF!</v>
      </c>
      <c r="L20" s="204" t="e">
        <f>+K20*(100-'GRASA AOAC 920.39'!I81)/100</f>
        <v>#REF!</v>
      </c>
      <c r="M20" s="2" t="s">
        <v>10</v>
      </c>
      <c r="N20" s="2" t="s">
        <v>10</v>
      </c>
      <c r="O20" s="2" t="s">
        <v>10</v>
      </c>
      <c r="P20" s="2" t="s">
        <v>14</v>
      </c>
      <c r="Q20" s="2" t="s">
        <v>15</v>
      </c>
    </row>
    <row r="21" spans="1:17" ht="16.5" x14ac:dyDescent="0.3">
      <c r="A21" s="37">
        <v>43187</v>
      </c>
      <c r="B21" s="2" t="s">
        <v>310</v>
      </c>
      <c r="C21" s="3" t="s">
        <v>311</v>
      </c>
      <c r="D21" s="2">
        <v>1.0008999999999999</v>
      </c>
      <c r="E21" s="2">
        <v>45.827800000000003</v>
      </c>
      <c r="F21" s="2">
        <v>3</v>
      </c>
      <c r="G21" s="2">
        <v>45.914999999999999</v>
      </c>
      <c r="H21" s="2">
        <f t="shared" si="1"/>
        <v>8.7199999999995725E-2</v>
      </c>
      <c r="I21" s="38">
        <f>+'PROTEÍNA AOAC 2001.11'!I59/100</f>
        <v>0.23698107798166299</v>
      </c>
      <c r="J21" s="51"/>
      <c r="K21" s="204"/>
      <c r="L21" s="204"/>
      <c r="M21" s="2" t="s">
        <v>10</v>
      </c>
      <c r="N21" s="2" t="s">
        <v>10</v>
      </c>
      <c r="O21" s="2" t="s">
        <v>10</v>
      </c>
      <c r="P21" s="2" t="s">
        <v>14</v>
      </c>
      <c r="Q21" s="2" t="s">
        <v>15</v>
      </c>
    </row>
    <row r="22" spans="1:17" ht="16.5" x14ac:dyDescent="0.3">
      <c r="A22" s="37">
        <v>43187</v>
      </c>
      <c r="B22" s="2" t="s">
        <v>315</v>
      </c>
      <c r="C22" s="3" t="s">
        <v>312</v>
      </c>
      <c r="D22" s="2">
        <v>1.0001</v>
      </c>
      <c r="E22" s="2">
        <v>46.151400000000002</v>
      </c>
      <c r="F22" s="2">
        <v>4</v>
      </c>
      <c r="G22" s="2">
        <v>46.257399999999997</v>
      </c>
      <c r="H22" s="2">
        <f t="shared" si="1"/>
        <v>0.10599999999999454</v>
      </c>
      <c r="I22" s="51"/>
      <c r="J22" s="38" t="e">
        <f>+#REF!/100</f>
        <v>#REF!</v>
      </c>
      <c r="K22" s="204" t="e">
        <f>(((H22+H23)/2)-I23-J22-$K$2)/((D22+D23)/2)*100</f>
        <v>#REF!</v>
      </c>
      <c r="L22" s="204" t="e">
        <f>+K22*(100-'GRASA AOAC 920.39'!I82)/100</f>
        <v>#REF!</v>
      </c>
      <c r="M22" s="2" t="s">
        <v>10</v>
      </c>
      <c r="N22" s="2" t="s">
        <v>10</v>
      </c>
      <c r="O22" s="2" t="s">
        <v>10</v>
      </c>
      <c r="P22" s="2" t="s">
        <v>14</v>
      </c>
      <c r="Q22" s="2" t="s">
        <v>15</v>
      </c>
    </row>
    <row r="23" spans="1:17" ht="16.5" x14ac:dyDescent="0.3">
      <c r="A23" s="37">
        <v>43187</v>
      </c>
      <c r="B23" s="2" t="s">
        <v>315</v>
      </c>
      <c r="C23" s="3" t="s">
        <v>312</v>
      </c>
      <c r="D23" s="2">
        <v>1.0005999999999999</v>
      </c>
      <c r="E23" s="2">
        <v>46.518000000000001</v>
      </c>
      <c r="F23" s="2">
        <v>6</v>
      </c>
      <c r="G23" s="2">
        <v>46.622399999999999</v>
      </c>
      <c r="H23" s="2">
        <f t="shared" si="1"/>
        <v>0.10439999999999827</v>
      </c>
      <c r="I23" s="38">
        <f>+'PROTEÍNA AOAC 2001.11'!I60/100</f>
        <v>0.24088074712644081</v>
      </c>
      <c r="J23" s="51"/>
      <c r="K23" s="204"/>
      <c r="L23" s="204"/>
      <c r="M23" s="2" t="s">
        <v>10</v>
      </c>
      <c r="N23" s="2" t="s">
        <v>10</v>
      </c>
      <c r="O23" s="2" t="s">
        <v>10</v>
      </c>
      <c r="P23" s="2" t="s">
        <v>14</v>
      </c>
      <c r="Q23" s="2" t="s">
        <v>15</v>
      </c>
    </row>
    <row r="24" spans="1:17" ht="16.5" x14ac:dyDescent="0.3">
      <c r="A24" s="37">
        <v>43187</v>
      </c>
      <c r="B24" s="2" t="s">
        <v>316</v>
      </c>
      <c r="C24" s="3" t="s">
        <v>313</v>
      </c>
      <c r="D24" s="2">
        <v>1.0008999999999999</v>
      </c>
      <c r="E24" s="3">
        <v>45.388199999999998</v>
      </c>
      <c r="F24" s="2">
        <v>7</v>
      </c>
      <c r="G24" s="2">
        <v>45.437600000000003</v>
      </c>
      <c r="H24" s="2">
        <f t="shared" si="1"/>
        <v>4.9400000000005662E-2</v>
      </c>
      <c r="I24" s="51"/>
      <c r="J24" s="38" t="e">
        <f>+#REF!/100</f>
        <v>#REF!</v>
      </c>
      <c r="K24" s="204" t="e">
        <f>(((H24+H25)/2)-I25-J24-$K$2)/((D24+D25)/2)*100</f>
        <v>#REF!</v>
      </c>
      <c r="L24" s="204" t="e">
        <f>+K24*(100-'GRASA AOAC 920.39'!I83)/100</f>
        <v>#REF!</v>
      </c>
      <c r="M24" s="2" t="s">
        <v>10</v>
      </c>
      <c r="N24" s="2" t="s">
        <v>10</v>
      </c>
      <c r="O24" s="2" t="s">
        <v>10</v>
      </c>
      <c r="P24" s="2" t="s">
        <v>14</v>
      </c>
      <c r="Q24" s="2" t="s">
        <v>15</v>
      </c>
    </row>
    <row r="25" spans="1:17" ht="16.5" x14ac:dyDescent="0.3">
      <c r="A25" s="37">
        <v>43187</v>
      </c>
      <c r="B25" s="2" t="s">
        <v>316</v>
      </c>
      <c r="C25" s="3" t="s">
        <v>313</v>
      </c>
      <c r="D25" s="2">
        <v>1.0006999999999999</v>
      </c>
      <c r="E25" s="2">
        <v>46.874099999999999</v>
      </c>
      <c r="F25" s="2">
        <v>8</v>
      </c>
      <c r="G25" s="2">
        <v>46.922800000000002</v>
      </c>
      <c r="H25" s="2">
        <f t="shared" si="1"/>
        <v>4.870000000000374E-2</v>
      </c>
      <c r="I25" s="38">
        <f>+'PROTEÍNA AOAC 2001.11'!I61/100</f>
        <v>0.45489348049277822</v>
      </c>
      <c r="J25" s="51"/>
      <c r="K25" s="204"/>
      <c r="L25" s="204"/>
      <c r="M25" s="2" t="s">
        <v>10</v>
      </c>
      <c r="N25" s="2" t="s">
        <v>10</v>
      </c>
      <c r="O25" s="2" t="s">
        <v>10</v>
      </c>
      <c r="P25" s="2" t="s">
        <v>14</v>
      </c>
      <c r="Q25" s="2" t="s">
        <v>15</v>
      </c>
    </row>
    <row r="26" spans="1:17" ht="16.5" x14ac:dyDescent="0.3">
      <c r="A26" s="37">
        <v>43187</v>
      </c>
      <c r="B26" s="2" t="s">
        <v>317</v>
      </c>
      <c r="C26" s="3" t="s">
        <v>314</v>
      </c>
      <c r="D26" s="2">
        <v>1.0004999999999999</v>
      </c>
      <c r="E26" s="3">
        <v>46.986499999999999</v>
      </c>
      <c r="F26" s="2">
        <v>4</v>
      </c>
      <c r="G26" s="2">
        <v>47.041499999999999</v>
      </c>
      <c r="H26" s="2">
        <f t="shared" si="1"/>
        <v>5.4999999999999716E-2</v>
      </c>
      <c r="I26" s="51"/>
      <c r="J26" s="38" t="e">
        <f>+#REF!/100</f>
        <v>#REF!</v>
      </c>
      <c r="K26" s="204" t="e">
        <f>(((H26+H27)/2)-I27-J26-$K$2)/((D26+D27)/2)*100</f>
        <v>#REF!</v>
      </c>
      <c r="L26" s="204" t="e">
        <f>+K26*(100-'GRASA AOAC 920.39'!I84)/100</f>
        <v>#REF!</v>
      </c>
      <c r="M26" s="2" t="s">
        <v>10</v>
      </c>
      <c r="N26" s="2" t="s">
        <v>10</v>
      </c>
      <c r="O26" s="2" t="s">
        <v>10</v>
      </c>
      <c r="P26" s="2" t="s">
        <v>14</v>
      </c>
      <c r="Q26" s="2" t="s">
        <v>15</v>
      </c>
    </row>
    <row r="27" spans="1:17" ht="16.5" x14ac:dyDescent="0.3">
      <c r="A27" s="37">
        <v>43187</v>
      </c>
      <c r="B27" s="2" t="s">
        <v>317</v>
      </c>
      <c r="C27" s="3" t="s">
        <v>314</v>
      </c>
      <c r="D27" s="2">
        <v>1.0002</v>
      </c>
      <c r="E27" s="3">
        <v>47.030700000000003</v>
      </c>
      <c r="F27" s="2">
        <v>6</v>
      </c>
      <c r="G27" s="2">
        <v>47.082799999999999</v>
      </c>
      <c r="H27" s="2">
        <f t="shared" si="1"/>
        <v>5.2099999999995816E-2</v>
      </c>
      <c r="I27" s="38">
        <f>+'PROTEÍNA AOAC 2001.11'!I62/100</f>
        <v>0.36957761516317744</v>
      </c>
      <c r="J27" s="51"/>
      <c r="K27" s="204"/>
      <c r="L27" s="204"/>
      <c r="M27" s="2" t="s">
        <v>10</v>
      </c>
      <c r="N27" s="2" t="s">
        <v>10</v>
      </c>
      <c r="O27" s="2" t="s">
        <v>10</v>
      </c>
      <c r="P27" s="2" t="s">
        <v>14</v>
      </c>
      <c r="Q27" s="2" t="s">
        <v>15</v>
      </c>
    </row>
    <row r="28" spans="1:17" ht="16.5" x14ac:dyDescent="0.3">
      <c r="A28" s="37">
        <v>43187</v>
      </c>
      <c r="B28" s="2" t="s">
        <v>318</v>
      </c>
      <c r="C28" s="3" t="s">
        <v>321</v>
      </c>
      <c r="D28" s="2">
        <v>1.0006999999999999</v>
      </c>
      <c r="E28" s="3">
        <v>45.7258</v>
      </c>
      <c r="F28" s="45">
        <v>7</v>
      </c>
      <c r="G28" s="2">
        <v>45.7881</v>
      </c>
      <c r="H28" s="2">
        <f t="shared" si="1"/>
        <v>6.2300000000000466E-2</v>
      </c>
      <c r="I28" s="51"/>
      <c r="J28" s="38" t="e">
        <f>+#REF!/100</f>
        <v>#REF!</v>
      </c>
      <c r="K28" s="204" t="e">
        <f>(((H28+H29)/2)-I29-J28-$K$2)/((D28+D29)/2)*100</f>
        <v>#REF!</v>
      </c>
      <c r="L28" s="204" t="e">
        <f>+K28*(100-'GRASA AOAC 920.39'!I85)/100</f>
        <v>#REF!</v>
      </c>
      <c r="M28" s="2" t="s">
        <v>10</v>
      </c>
      <c r="N28" s="2" t="s">
        <v>10</v>
      </c>
      <c r="O28" s="2" t="s">
        <v>10</v>
      </c>
      <c r="P28" s="2" t="s">
        <v>14</v>
      </c>
      <c r="Q28" s="2" t="s">
        <v>15</v>
      </c>
    </row>
    <row r="29" spans="1:17" ht="16.5" x14ac:dyDescent="0.3">
      <c r="A29" s="37">
        <v>43187</v>
      </c>
      <c r="B29" s="45" t="s">
        <v>318</v>
      </c>
      <c r="C29" s="3" t="s">
        <v>321</v>
      </c>
      <c r="D29" s="2">
        <v>1.0007999999999999</v>
      </c>
      <c r="E29" s="3">
        <v>46.8337</v>
      </c>
      <c r="F29" s="2">
        <v>8</v>
      </c>
      <c r="G29" s="2">
        <v>46.886299999999999</v>
      </c>
      <c r="H29" s="2">
        <f t="shared" si="1"/>
        <v>5.2599999999998204E-2</v>
      </c>
      <c r="I29" s="38">
        <f>+'PROTEÍNA AOAC 2001.11'!I63/100</f>
        <v>0.35424524714830108</v>
      </c>
      <c r="J29" s="51"/>
      <c r="K29" s="204"/>
      <c r="L29" s="204"/>
      <c r="M29" s="2" t="s">
        <v>10</v>
      </c>
      <c r="N29" s="2" t="s">
        <v>10</v>
      </c>
      <c r="O29" s="2" t="s">
        <v>10</v>
      </c>
      <c r="P29" s="2" t="s">
        <v>14</v>
      </c>
      <c r="Q29" s="2" t="s">
        <v>15</v>
      </c>
    </row>
    <row r="30" spans="1:17" ht="16.5" x14ac:dyDescent="0.3">
      <c r="A30" s="37">
        <v>43187</v>
      </c>
      <c r="B30" s="2" t="s">
        <v>319</v>
      </c>
      <c r="C30" s="3" t="s">
        <v>322</v>
      </c>
      <c r="D30" s="2">
        <v>1.0008999999999999</v>
      </c>
      <c r="E30" s="3">
        <v>46.174300000000002</v>
      </c>
      <c r="F30" s="2">
        <v>1</v>
      </c>
      <c r="G30" s="2">
        <v>46.234900000000003</v>
      </c>
      <c r="H30" s="2">
        <f t="shared" si="1"/>
        <v>6.0600000000000875E-2</v>
      </c>
      <c r="I30" s="38">
        <f>+'PROTEÍNA AOAC 2001.11'!I64/100</f>
        <v>0.33637871287128229</v>
      </c>
      <c r="J30" s="51"/>
      <c r="K30" s="204" t="e">
        <f>(((H30+H31)/2)-I30-J31-$K$2)/((D30+D31)/2)*100</f>
        <v>#REF!</v>
      </c>
      <c r="L30" s="204" t="e">
        <f>+K30*(100-'GRASA AOAC 920.39'!I86)/100</f>
        <v>#REF!</v>
      </c>
      <c r="M30" s="2" t="s">
        <v>10</v>
      </c>
      <c r="N30" s="2" t="s">
        <v>10</v>
      </c>
      <c r="O30" s="2" t="s">
        <v>10</v>
      </c>
      <c r="P30" s="2" t="s">
        <v>14</v>
      </c>
      <c r="Q30" s="2" t="s">
        <v>15</v>
      </c>
    </row>
    <row r="31" spans="1:17" ht="16.5" x14ac:dyDescent="0.3">
      <c r="A31" s="37">
        <v>43187</v>
      </c>
      <c r="B31" s="2" t="s">
        <v>319</v>
      </c>
      <c r="C31" s="3" t="s">
        <v>322</v>
      </c>
      <c r="D31" s="2">
        <v>1.0006999999999999</v>
      </c>
      <c r="E31" s="3">
        <v>47.145499999999998</v>
      </c>
      <c r="F31" s="2">
        <v>3</v>
      </c>
      <c r="G31" s="2">
        <v>47.203499999999998</v>
      </c>
      <c r="H31" s="2">
        <f t="shared" si="1"/>
        <v>5.7999999999999829E-2</v>
      </c>
      <c r="I31" s="51"/>
      <c r="J31" s="38" t="e">
        <f>+#REF!/100</f>
        <v>#REF!</v>
      </c>
      <c r="K31" s="204"/>
      <c r="L31" s="204"/>
      <c r="M31" s="2" t="s">
        <v>10</v>
      </c>
      <c r="N31" s="2" t="s">
        <v>10</v>
      </c>
      <c r="O31" s="2" t="s">
        <v>10</v>
      </c>
      <c r="P31" s="2" t="s">
        <v>14</v>
      </c>
      <c r="Q31" s="2" t="s">
        <v>15</v>
      </c>
    </row>
    <row r="32" spans="1:17" ht="16.5" x14ac:dyDescent="0.3">
      <c r="A32" s="37">
        <v>43187</v>
      </c>
      <c r="B32" s="2" t="s">
        <v>320</v>
      </c>
      <c r="C32" s="3" t="s">
        <v>323</v>
      </c>
      <c r="D32" s="2">
        <v>1.0008999999999999</v>
      </c>
      <c r="E32" s="3">
        <v>47.564399999999999</v>
      </c>
      <c r="F32" s="2">
        <v>4</v>
      </c>
      <c r="G32" s="2">
        <v>47.624499999999998</v>
      </c>
      <c r="H32" s="2">
        <f t="shared" si="1"/>
        <v>6.0099999999998488E-2</v>
      </c>
      <c r="I32" s="38">
        <f>+'PROTEÍNA AOAC 2001.11'!I65/100</f>
        <v>0.34005137271215496</v>
      </c>
      <c r="J32" s="51"/>
      <c r="K32" s="204" t="e">
        <f>(((H32+H33)/2)-I32-J33-$K$2)/((D32+D33)/2)*100</f>
        <v>#REF!</v>
      </c>
      <c r="L32" s="204" t="e">
        <f>+K32*(100-'GRASA AOAC 920.39'!I87)/100</f>
        <v>#REF!</v>
      </c>
      <c r="M32" s="2" t="s">
        <v>10</v>
      </c>
      <c r="N32" s="2" t="s">
        <v>10</v>
      </c>
      <c r="O32" s="2" t="s">
        <v>10</v>
      </c>
      <c r="P32" s="2" t="s">
        <v>14</v>
      </c>
      <c r="Q32" s="2" t="s">
        <v>15</v>
      </c>
    </row>
    <row r="33" spans="1:17" ht="16.5" x14ac:dyDescent="0.3">
      <c r="A33" s="37">
        <v>43187</v>
      </c>
      <c r="B33" s="2" t="s">
        <v>320</v>
      </c>
      <c r="C33" s="3" t="s">
        <v>323</v>
      </c>
      <c r="D33" s="2">
        <v>1.0007999999999999</v>
      </c>
      <c r="E33" s="3">
        <v>46.328400000000002</v>
      </c>
      <c r="F33" s="2">
        <v>7</v>
      </c>
      <c r="G33" s="2">
        <v>46.384700000000002</v>
      </c>
      <c r="H33" s="2">
        <f t="shared" si="1"/>
        <v>5.6300000000000239E-2</v>
      </c>
      <c r="I33" s="51"/>
      <c r="J33" s="38" t="e">
        <f>+#REF!/100</f>
        <v>#REF!</v>
      </c>
      <c r="K33" s="204"/>
      <c r="L33" s="204"/>
      <c r="M33" s="2" t="s">
        <v>10</v>
      </c>
      <c r="N33" s="2" t="s">
        <v>10</v>
      </c>
      <c r="O33" s="2" t="s">
        <v>10</v>
      </c>
      <c r="P33" s="2" t="s">
        <v>14</v>
      </c>
      <c r="Q33" s="2" t="s">
        <v>15</v>
      </c>
    </row>
    <row r="34" spans="1:17" ht="16.5" x14ac:dyDescent="0.3">
      <c r="A34" s="37">
        <v>43187</v>
      </c>
      <c r="B34" s="2" t="s">
        <v>305</v>
      </c>
      <c r="C34" s="46" t="s">
        <v>304</v>
      </c>
      <c r="D34" s="2">
        <v>1.0008999999999999</v>
      </c>
      <c r="E34" s="3">
        <v>46.44</v>
      </c>
      <c r="F34" s="2">
        <v>3</v>
      </c>
      <c r="G34" s="2">
        <v>46.490699999999997</v>
      </c>
      <c r="H34" s="2">
        <f t="shared" si="1"/>
        <v>5.0699999999999079E-2</v>
      </c>
      <c r="I34" s="51"/>
      <c r="J34" s="38" t="e">
        <f>+#REF!/100</f>
        <v>#REF!</v>
      </c>
      <c r="K34" s="204">
        <f>(((H34+H35)/2)-I34-J35)/((D34+D35)/2)*100</f>
        <v>4.4959536417222656</v>
      </c>
      <c r="L34" s="204" t="e">
        <f>+K34*(100-#REF!)/100</f>
        <v>#REF!</v>
      </c>
      <c r="M34" s="2" t="s">
        <v>10</v>
      </c>
      <c r="N34" s="2" t="s">
        <v>10</v>
      </c>
      <c r="O34" s="2" t="s">
        <v>10</v>
      </c>
      <c r="P34" s="2" t="s">
        <v>14</v>
      </c>
      <c r="Q34" s="2" t="s">
        <v>15</v>
      </c>
    </row>
    <row r="35" spans="1:17" ht="16.5" x14ac:dyDescent="0.3">
      <c r="A35" s="37">
        <v>43187</v>
      </c>
      <c r="B35" s="2" t="s">
        <v>305</v>
      </c>
      <c r="C35" s="46" t="s">
        <v>304</v>
      </c>
      <c r="D35" s="2">
        <v>1.0008999999999999</v>
      </c>
      <c r="E35" s="3">
        <v>46.760100000000001</v>
      </c>
      <c r="F35" s="2">
        <v>4</v>
      </c>
      <c r="G35" s="2">
        <v>46.799399999999999</v>
      </c>
      <c r="H35" s="2">
        <f t="shared" si="1"/>
        <v>3.9299999999997226E-2</v>
      </c>
      <c r="I35" s="38">
        <f>+'PROTEÍNA AOAC 2001.11'!I66/100</f>
        <v>7.8427480916036074E-2</v>
      </c>
      <c r="J35" s="51"/>
      <c r="K35" s="204"/>
      <c r="L35" s="204"/>
      <c r="M35" s="2" t="s">
        <v>10</v>
      </c>
      <c r="N35" s="2" t="s">
        <v>10</v>
      </c>
      <c r="O35" s="2" t="s">
        <v>10</v>
      </c>
      <c r="P35" s="2" t="s">
        <v>14</v>
      </c>
      <c r="Q35" s="2" t="s">
        <v>15</v>
      </c>
    </row>
    <row r="36" spans="1:17" ht="16.5" x14ac:dyDescent="0.3">
      <c r="A36" s="37">
        <v>43187</v>
      </c>
      <c r="B36" s="2" t="s">
        <v>302</v>
      </c>
      <c r="C36" s="46" t="s">
        <v>303</v>
      </c>
      <c r="D36" s="2">
        <v>1.0008999999999999</v>
      </c>
      <c r="E36" s="3">
        <v>46.8371</v>
      </c>
      <c r="F36" s="2">
        <v>5</v>
      </c>
      <c r="G36" s="2">
        <v>46.912700000000001</v>
      </c>
      <c r="H36" s="2">
        <f t="shared" si="1"/>
        <v>7.5600000000001444E-2</v>
      </c>
      <c r="I36" s="51"/>
      <c r="J36" s="38" t="e">
        <f>+#REF!/100</f>
        <v>#REF!</v>
      </c>
      <c r="K36" s="204">
        <f>(((H36+H37)/2)-I36-J37)/((D36+D37)/2)*100</f>
        <v>8.4961767204758729</v>
      </c>
      <c r="L36" s="204" t="e">
        <f>+K36*(100-#REF!)/100</f>
        <v>#REF!</v>
      </c>
      <c r="M36" s="2" t="s">
        <v>10</v>
      </c>
      <c r="N36" s="2" t="s">
        <v>10</v>
      </c>
      <c r="O36" s="2" t="s">
        <v>10</v>
      </c>
      <c r="P36" s="2" t="s">
        <v>14</v>
      </c>
      <c r="Q36" s="2" t="s">
        <v>15</v>
      </c>
    </row>
    <row r="37" spans="1:17" ht="16.5" x14ac:dyDescent="0.3">
      <c r="A37" s="37">
        <v>43187</v>
      </c>
      <c r="B37" s="2" t="s">
        <v>302</v>
      </c>
      <c r="C37" s="3" t="s">
        <v>303</v>
      </c>
      <c r="D37" s="4">
        <v>1</v>
      </c>
      <c r="E37" s="3">
        <v>45.613300000000002</v>
      </c>
      <c r="F37" s="2">
        <v>7</v>
      </c>
      <c r="G37" s="2">
        <v>45.707700000000003</v>
      </c>
      <c r="H37" s="2">
        <f t="shared" si="1"/>
        <v>9.4400000000000261E-2</v>
      </c>
      <c r="I37" s="38">
        <f>+'PROTEÍNA AOAC 2001.11'!I67/100</f>
        <v>5.1201800847457485E-2</v>
      </c>
      <c r="J37" s="51"/>
      <c r="K37" s="204"/>
      <c r="L37" s="204"/>
      <c r="M37" s="2" t="s">
        <v>10</v>
      </c>
      <c r="N37" s="2" t="s">
        <v>10</v>
      </c>
      <c r="O37" s="2" t="s">
        <v>10</v>
      </c>
      <c r="P37" s="2" t="s">
        <v>14</v>
      </c>
      <c r="Q37" s="2" t="s">
        <v>15</v>
      </c>
    </row>
    <row r="38" spans="1:17" ht="16.5" x14ac:dyDescent="0.3">
      <c r="A38" s="37">
        <v>43200</v>
      </c>
      <c r="B38" s="2" t="s">
        <v>238</v>
      </c>
      <c r="C38" s="3" t="s">
        <v>10</v>
      </c>
      <c r="D38" s="2" t="s">
        <v>127</v>
      </c>
      <c r="E38" s="3">
        <v>46.998899999999999</v>
      </c>
      <c r="F38" s="2">
        <v>2</v>
      </c>
      <c r="G38" s="2">
        <v>47.003799999999998</v>
      </c>
      <c r="H38" s="2">
        <f t="shared" si="1"/>
        <v>4.8999999999992383E-3</v>
      </c>
      <c r="I38" s="51"/>
      <c r="J38" s="38">
        <v>0</v>
      </c>
      <c r="K38" s="204">
        <v>0</v>
      </c>
      <c r="L38" s="2" t="s">
        <v>10</v>
      </c>
      <c r="M38" s="2" t="s">
        <v>10</v>
      </c>
      <c r="N38" s="2" t="s">
        <v>10</v>
      </c>
      <c r="O38" s="2" t="s">
        <v>10</v>
      </c>
      <c r="P38" s="2" t="s">
        <v>14</v>
      </c>
      <c r="Q38" s="2" t="s">
        <v>15</v>
      </c>
    </row>
    <row r="39" spans="1:17" ht="16.5" x14ac:dyDescent="0.3">
      <c r="A39" s="37">
        <v>43200</v>
      </c>
      <c r="B39" s="2" t="s">
        <v>239</v>
      </c>
      <c r="C39" s="3" t="s">
        <v>10</v>
      </c>
      <c r="D39" s="2" t="s">
        <v>127</v>
      </c>
      <c r="E39" s="3">
        <v>46.6922</v>
      </c>
      <c r="F39" s="2">
        <v>1</v>
      </c>
      <c r="G39" s="2">
        <v>46.697099999999999</v>
      </c>
      <c r="H39" s="2">
        <f t="shared" si="1"/>
        <v>4.8999999999992383E-3</v>
      </c>
      <c r="I39" s="38">
        <f>+'PROTEÍNA AOAC 2001.11'!I74/100</f>
        <v>0.64331632653071213</v>
      </c>
      <c r="J39" s="51"/>
      <c r="K39" s="204"/>
      <c r="L39" s="2" t="s">
        <v>10</v>
      </c>
      <c r="M39" s="2" t="s">
        <v>10</v>
      </c>
      <c r="N39" s="2" t="s">
        <v>10</v>
      </c>
      <c r="O39" s="2" t="s">
        <v>10</v>
      </c>
      <c r="P39" s="2" t="s">
        <v>14</v>
      </c>
      <c r="Q39" s="2" t="s">
        <v>15</v>
      </c>
    </row>
    <row r="40" spans="1:17" ht="16.5" x14ac:dyDescent="0.3">
      <c r="A40" s="37">
        <v>43200</v>
      </c>
      <c r="B40" s="1" t="s">
        <v>240</v>
      </c>
      <c r="C40" s="3" t="s">
        <v>10</v>
      </c>
      <c r="D40" s="2" t="s">
        <v>127</v>
      </c>
      <c r="E40" s="3">
        <v>46.793900000000001</v>
      </c>
      <c r="F40" s="2">
        <v>6</v>
      </c>
      <c r="G40" s="2">
        <v>46.8108</v>
      </c>
      <c r="H40" s="2">
        <f t="shared" si="1"/>
        <v>1.6899999999999693E-2</v>
      </c>
      <c r="I40" s="51"/>
      <c r="J40" s="38">
        <v>0</v>
      </c>
      <c r="K40" s="204">
        <v>0</v>
      </c>
      <c r="L40" s="2" t="s">
        <v>10</v>
      </c>
      <c r="M40" s="2" t="s">
        <v>10</v>
      </c>
      <c r="N40" s="2" t="s">
        <v>10</v>
      </c>
      <c r="O40" s="2" t="s">
        <v>10</v>
      </c>
      <c r="P40" s="2" t="s">
        <v>14</v>
      </c>
      <c r="Q40" s="2" t="s">
        <v>15</v>
      </c>
    </row>
    <row r="41" spans="1:17" ht="16.5" x14ac:dyDescent="0.3">
      <c r="A41" s="37">
        <v>43200</v>
      </c>
      <c r="B41" s="1" t="s">
        <v>241</v>
      </c>
      <c r="C41" s="3" t="s">
        <v>10</v>
      </c>
      <c r="D41" s="2" t="s">
        <v>127</v>
      </c>
      <c r="E41" s="3">
        <v>47.723399999999998</v>
      </c>
      <c r="F41" s="2">
        <v>8</v>
      </c>
      <c r="G41" s="2">
        <v>47.734299999999998</v>
      </c>
      <c r="H41" s="2">
        <f t="shared" si="1"/>
        <v>1.0899999999999466E-2</v>
      </c>
      <c r="I41" s="38">
        <f>+'PROTEÍNA AOAC 2001.11'!I75/100</f>
        <v>0.97523738532114879</v>
      </c>
      <c r="J41" s="51"/>
      <c r="K41" s="204"/>
      <c r="L41" s="2" t="s">
        <v>10</v>
      </c>
      <c r="M41" s="2" t="s">
        <v>10</v>
      </c>
      <c r="N41" s="2" t="s">
        <v>10</v>
      </c>
      <c r="O41" s="2" t="s">
        <v>10</v>
      </c>
      <c r="P41" s="2" t="s">
        <v>14</v>
      </c>
      <c r="Q41" s="2" t="s">
        <v>15</v>
      </c>
    </row>
    <row r="42" spans="1:17" ht="16.5" x14ac:dyDescent="0.3">
      <c r="A42" s="37">
        <v>43200</v>
      </c>
      <c r="B42" s="2" t="s">
        <v>359</v>
      </c>
      <c r="C42" s="3" t="s">
        <v>358</v>
      </c>
      <c r="D42" s="2">
        <v>1.0008999999999999</v>
      </c>
      <c r="E42" s="3">
        <v>47.289099999999998</v>
      </c>
      <c r="F42" s="2">
        <v>5</v>
      </c>
      <c r="G42" s="2">
        <v>47.3324</v>
      </c>
      <c r="H42" s="2">
        <f t="shared" si="1"/>
        <v>4.3300000000002115E-2</v>
      </c>
      <c r="I42" s="51"/>
      <c r="J42" s="38">
        <v>0</v>
      </c>
      <c r="K42" s="204">
        <f>(((H42+H43)/2)-I43-J42-K38)/((D42+D43)/2)*100</f>
        <v>3.0825753325501424</v>
      </c>
      <c r="L42" s="2" t="s">
        <v>10</v>
      </c>
      <c r="M42" s="2" t="s">
        <v>10</v>
      </c>
      <c r="N42" s="2" t="s">
        <v>10</v>
      </c>
      <c r="O42" s="2" t="s">
        <v>10</v>
      </c>
      <c r="P42" s="2" t="s">
        <v>14</v>
      </c>
      <c r="Q42" s="2" t="s">
        <v>15</v>
      </c>
    </row>
    <row r="43" spans="1:17" ht="16.5" x14ac:dyDescent="0.3">
      <c r="A43" s="37">
        <v>43200</v>
      </c>
      <c r="B43" s="2" t="s">
        <v>359</v>
      </c>
      <c r="C43" s="3" t="s">
        <v>358</v>
      </c>
      <c r="D43" s="2">
        <v>1.0008999999999999</v>
      </c>
      <c r="E43" s="3">
        <v>45.989100000000001</v>
      </c>
      <c r="F43" s="2">
        <v>7</v>
      </c>
      <c r="G43" s="2">
        <v>46.031999999999996</v>
      </c>
      <c r="H43" s="2">
        <f t="shared" si="1"/>
        <v>4.2899999999995941E-2</v>
      </c>
      <c r="I43" s="38">
        <f>+'PROTEÍNA AOAC 2001.11'!I76/100</f>
        <v>1.2246503496504656E-2</v>
      </c>
      <c r="J43" s="51"/>
      <c r="K43" s="204"/>
      <c r="L43" s="2" t="s">
        <v>10</v>
      </c>
      <c r="M43" s="2" t="s">
        <v>10</v>
      </c>
      <c r="N43" s="2" t="s">
        <v>10</v>
      </c>
      <c r="O43" s="2" t="s">
        <v>10</v>
      </c>
      <c r="P43" s="2" t="s">
        <v>14</v>
      </c>
      <c r="Q43" s="2" t="s">
        <v>15</v>
      </c>
    </row>
    <row r="44" spans="1:17" ht="16.5" x14ac:dyDescent="0.3">
      <c r="A44" s="37">
        <v>43200</v>
      </c>
      <c r="B44" s="2" t="s">
        <v>360</v>
      </c>
      <c r="C44" s="3" t="s">
        <v>358</v>
      </c>
      <c r="D44" s="2">
        <v>1.0008999999999999</v>
      </c>
      <c r="E44" s="3">
        <v>47.017299999999999</v>
      </c>
      <c r="F44" s="2">
        <v>3</v>
      </c>
      <c r="G44" s="2">
        <v>47.045200000000001</v>
      </c>
      <c r="H44" s="2">
        <f t="shared" si="1"/>
        <v>2.7900000000002478E-2</v>
      </c>
      <c r="I44" s="51"/>
      <c r="J44" s="38" t="e">
        <f>+#REF!/100</f>
        <v>#REF!</v>
      </c>
      <c r="K44" s="204" t="e">
        <f>(((H44+H45)/2)-I45-J44-K40)/((D44+D45)/2)*100</f>
        <v>#REF!</v>
      </c>
      <c r="L44" s="2" t="s">
        <v>10</v>
      </c>
      <c r="M44" s="2" t="s">
        <v>10</v>
      </c>
      <c r="N44" s="2" t="s">
        <v>10</v>
      </c>
      <c r="O44" s="2" t="s">
        <v>10</v>
      </c>
      <c r="P44" s="2" t="s">
        <v>14</v>
      </c>
      <c r="Q44" s="2" t="s">
        <v>15</v>
      </c>
    </row>
    <row r="45" spans="1:17" ht="16.5" x14ac:dyDescent="0.3">
      <c r="A45" s="37">
        <v>43200</v>
      </c>
      <c r="B45" s="2" t="s">
        <v>360</v>
      </c>
      <c r="C45" s="3" t="s">
        <v>358</v>
      </c>
      <c r="D45" s="2">
        <v>1.0008999999999999</v>
      </c>
      <c r="E45" s="3">
        <v>47.335799999999999</v>
      </c>
      <c r="F45" s="2">
        <v>4</v>
      </c>
      <c r="G45" s="2">
        <v>47.358199999999997</v>
      </c>
      <c r="H45" s="2">
        <f t="shared" si="1"/>
        <v>2.2399999999997533E-2</v>
      </c>
      <c r="I45" s="38">
        <f>+'PROTEÍNA AOAC 2001.11'!I77/100</f>
        <v>0.53084765625005848</v>
      </c>
      <c r="J45" s="51"/>
      <c r="K45" s="204"/>
      <c r="L45" s="2" t="s">
        <v>10</v>
      </c>
      <c r="M45" s="2" t="s">
        <v>10</v>
      </c>
      <c r="N45" s="2" t="s">
        <v>10</v>
      </c>
      <c r="O45" s="2" t="s">
        <v>10</v>
      </c>
      <c r="P45" s="2" t="s">
        <v>14</v>
      </c>
      <c r="Q45" s="2" t="s">
        <v>15</v>
      </c>
    </row>
    <row r="46" spans="1:17" ht="16.5" x14ac:dyDescent="0.3">
      <c r="A46" s="37">
        <v>43201</v>
      </c>
      <c r="B46" s="2" t="s">
        <v>359</v>
      </c>
      <c r="C46" s="3" t="s">
        <v>358</v>
      </c>
      <c r="D46" s="2">
        <v>1.0008999999999999</v>
      </c>
      <c r="E46" s="3">
        <v>46.326999999999998</v>
      </c>
      <c r="F46" s="2">
        <v>1</v>
      </c>
      <c r="G46" s="2">
        <v>46.368499999999997</v>
      </c>
      <c r="H46" s="2">
        <f t="shared" si="1"/>
        <v>4.1499999999999204E-2</v>
      </c>
      <c r="I46" s="51"/>
      <c r="J46" s="38">
        <v>0</v>
      </c>
      <c r="K46" s="204">
        <f>(((H46+H47)/2)-I47-J46-$K$38)/((D46+D47)/2)*100</f>
        <v>3.3749690637904872</v>
      </c>
      <c r="L46" s="2" t="s">
        <v>10</v>
      </c>
      <c r="M46" s="204">
        <f>+N46+O46</f>
        <v>6.6520197182016894</v>
      </c>
      <c r="N46" s="204">
        <f>+K46</f>
        <v>3.3749690637904872</v>
      </c>
      <c r="O46" s="204">
        <f>+K48</f>
        <v>3.2770506544112017</v>
      </c>
      <c r="P46" s="2" t="s">
        <v>14</v>
      </c>
      <c r="Q46" s="2" t="s">
        <v>15</v>
      </c>
    </row>
    <row r="47" spans="1:17" ht="16.5" x14ac:dyDescent="0.3">
      <c r="A47" s="37">
        <v>43201</v>
      </c>
      <c r="B47" s="2" t="s">
        <v>359</v>
      </c>
      <c r="C47" s="3" t="s">
        <v>358</v>
      </c>
      <c r="D47" s="2">
        <v>1.0008999999999999</v>
      </c>
      <c r="E47" s="3">
        <v>45.700499999999998</v>
      </c>
      <c r="F47" s="2">
        <v>7</v>
      </c>
      <c r="G47" s="2">
        <v>45.746400000000001</v>
      </c>
      <c r="H47" s="2">
        <f t="shared" si="1"/>
        <v>4.590000000000316E-2</v>
      </c>
      <c r="I47" s="38">
        <f>+'PROTEÍNA AOAC 2001.11'!I78/100</f>
        <v>9.9199346405221926E-3</v>
      </c>
      <c r="J47" s="51"/>
      <c r="K47" s="204"/>
      <c r="L47" s="2" t="s">
        <v>10</v>
      </c>
      <c r="M47" s="204"/>
      <c r="N47" s="204"/>
      <c r="O47" s="204"/>
      <c r="P47" s="2" t="s">
        <v>14</v>
      </c>
      <c r="Q47" s="2" t="s">
        <v>15</v>
      </c>
    </row>
    <row r="48" spans="1:17" ht="16.5" x14ac:dyDescent="0.3">
      <c r="A48" s="37">
        <v>43201</v>
      </c>
      <c r="B48" s="2" t="s">
        <v>360</v>
      </c>
      <c r="C48" s="3" t="s">
        <v>358</v>
      </c>
      <c r="D48" s="2">
        <v>1.0008999999999999</v>
      </c>
      <c r="E48" s="3">
        <v>46.451900000000002</v>
      </c>
      <c r="F48" s="2">
        <v>4</v>
      </c>
      <c r="G48" s="2">
        <v>46.483400000000003</v>
      </c>
      <c r="H48" s="2">
        <f t="shared" si="1"/>
        <v>3.1500000000001194E-2</v>
      </c>
      <c r="I48" s="51"/>
      <c r="J48" s="38">
        <v>0</v>
      </c>
      <c r="K48" s="204">
        <f>(((H48+H49)/2)-I49-J48-$K$40)/((D48+D49)/2)*100</f>
        <v>3.2770506544112017</v>
      </c>
      <c r="L48" s="2" t="s">
        <v>10</v>
      </c>
      <c r="M48" s="204"/>
      <c r="N48" s="204"/>
      <c r="O48" s="204"/>
      <c r="P48" s="2" t="s">
        <v>14</v>
      </c>
      <c r="Q48" s="2" t="s">
        <v>15</v>
      </c>
    </row>
    <row r="49" spans="1:17" ht="16.5" x14ac:dyDescent="0.3">
      <c r="A49" s="37">
        <v>43201</v>
      </c>
      <c r="B49" s="2" t="s">
        <v>360</v>
      </c>
      <c r="C49" s="3" t="s">
        <v>358</v>
      </c>
      <c r="D49" s="2">
        <v>1.0008999999999999</v>
      </c>
      <c r="E49" s="3">
        <v>47.156399999999998</v>
      </c>
      <c r="F49" s="2">
        <v>8</v>
      </c>
      <c r="G49" s="2">
        <v>47.1905</v>
      </c>
      <c r="H49" s="2">
        <f t="shared" si="1"/>
        <v>3.410000000000224E-2</v>
      </c>
      <c r="I49" s="38">
        <f>+'PROTEÍNA AOAC 2001.11'!I79/100</f>
        <v>0</v>
      </c>
      <c r="J49" s="51"/>
      <c r="K49" s="204"/>
      <c r="L49" s="2" t="s">
        <v>10</v>
      </c>
      <c r="M49" s="204"/>
      <c r="N49" s="204"/>
      <c r="O49" s="204"/>
      <c r="P49" s="2" t="s">
        <v>14</v>
      </c>
      <c r="Q49" s="2" t="s">
        <v>15</v>
      </c>
    </row>
    <row r="50" spans="1:17" ht="16.5" x14ac:dyDescent="0.3">
      <c r="A50" s="37">
        <v>43206</v>
      </c>
      <c r="B50" s="2" t="s">
        <v>382</v>
      </c>
      <c r="C50" s="3" t="s">
        <v>381</v>
      </c>
      <c r="D50" s="2">
        <v>1.0005999999999999</v>
      </c>
      <c r="E50" s="3">
        <v>46.612000000000002</v>
      </c>
      <c r="F50" s="2">
        <v>1</v>
      </c>
      <c r="G50" s="2">
        <v>47.152099999999997</v>
      </c>
      <c r="H50" s="2">
        <f t="shared" si="1"/>
        <v>0.54009999999999536</v>
      </c>
      <c r="I50" s="38">
        <f>+'PROTEÍNA AOAC 2001.11'!I88/100</f>
        <v>0.15589724125162141</v>
      </c>
      <c r="J50" s="51"/>
      <c r="K50" s="204" t="e">
        <f>(((H50+H51)/2)-I50-J51-$K$38)/((D50+D51)/2)*100</f>
        <v>#REF!</v>
      </c>
      <c r="L50" s="202" t="e">
        <f>+K50*(100-'GRASA AOAC 920.39'!I118)/100</f>
        <v>#REF!</v>
      </c>
      <c r="M50" s="204" t="e">
        <f>+N50+O50</f>
        <v>#REF!</v>
      </c>
      <c r="N50" s="204" t="e">
        <f>+L50</f>
        <v>#REF!</v>
      </c>
      <c r="O50" s="204">
        <f>+L52</f>
        <v>1.4066230570628693</v>
      </c>
      <c r="P50" s="2" t="s">
        <v>14</v>
      </c>
      <c r="Q50" s="2" t="s">
        <v>15</v>
      </c>
    </row>
    <row r="51" spans="1:17" ht="16.5" x14ac:dyDescent="0.3">
      <c r="A51" s="37">
        <v>43206</v>
      </c>
      <c r="B51" s="2" t="s">
        <v>382</v>
      </c>
      <c r="C51" s="3" t="s">
        <v>381</v>
      </c>
      <c r="D51" s="2">
        <v>1.0002</v>
      </c>
      <c r="E51" s="3">
        <v>46.654800000000002</v>
      </c>
      <c r="F51" s="2">
        <v>2</v>
      </c>
      <c r="G51" s="2">
        <v>47.152099999999997</v>
      </c>
      <c r="H51" s="2">
        <f t="shared" si="1"/>
        <v>0.49729999999999563</v>
      </c>
      <c r="I51" s="51"/>
      <c r="J51" s="38" t="e">
        <f>+#REF!/100</f>
        <v>#REF!</v>
      </c>
      <c r="K51" s="204"/>
      <c r="L51" s="202"/>
      <c r="M51" s="204"/>
      <c r="N51" s="204"/>
      <c r="O51" s="204"/>
      <c r="P51" s="2" t="s">
        <v>14</v>
      </c>
      <c r="Q51" s="2" t="s">
        <v>15</v>
      </c>
    </row>
    <row r="52" spans="1:17" ht="16.5" x14ac:dyDescent="0.3">
      <c r="A52" s="37">
        <v>43206</v>
      </c>
      <c r="B52" s="2" t="s">
        <v>383</v>
      </c>
      <c r="C52" s="3" t="s">
        <v>381</v>
      </c>
      <c r="D52" s="2">
        <v>1.0005999999999999</v>
      </c>
      <c r="E52" s="3">
        <v>46.028799999999997</v>
      </c>
      <c r="F52" s="2">
        <v>3</v>
      </c>
      <c r="G52" s="2">
        <v>46.063699999999997</v>
      </c>
      <c r="H52" s="2">
        <f t="shared" si="1"/>
        <v>3.4900000000000375E-2</v>
      </c>
      <c r="I52" s="38">
        <f>+'PROTEÍNA AOAC 2001.11'!I89/100</f>
        <v>2.1827901146131569E-2</v>
      </c>
      <c r="J52" s="51"/>
      <c r="K52" s="204">
        <f>(((H52+H53)/2)-I52-J53-$K$40)/((D52+D53)/2)*100</f>
        <v>2.0563873304543718</v>
      </c>
      <c r="L52" s="202">
        <f>+K52*(100-'GRASA AOAC 920.39'!I118)/100</f>
        <v>1.4066230570628693</v>
      </c>
      <c r="M52" s="204"/>
      <c r="N52" s="204"/>
      <c r="O52" s="204"/>
      <c r="P52" s="2" t="s">
        <v>14</v>
      </c>
      <c r="Q52" s="2" t="s">
        <v>15</v>
      </c>
    </row>
    <row r="53" spans="1:17" ht="16.5" x14ac:dyDescent="0.3">
      <c r="A53" s="37">
        <v>43206</v>
      </c>
      <c r="B53" s="2" t="s">
        <v>383</v>
      </c>
      <c r="C53" s="3" t="s">
        <v>381</v>
      </c>
      <c r="D53" s="2">
        <v>1.0002</v>
      </c>
      <c r="E53" s="3">
        <v>47.106900000000003</v>
      </c>
      <c r="F53" s="2">
        <v>4</v>
      </c>
      <c r="G53" s="2">
        <v>47.156799999999997</v>
      </c>
      <c r="H53" s="2">
        <f t="shared" si="1"/>
        <v>4.9899999999993838E-2</v>
      </c>
      <c r="I53" s="51"/>
      <c r="J53" s="38">
        <v>0</v>
      </c>
      <c r="K53" s="204"/>
      <c r="L53" s="202"/>
      <c r="M53" s="204"/>
      <c r="N53" s="204"/>
      <c r="O53" s="204"/>
      <c r="P53" s="2" t="s">
        <v>14</v>
      </c>
      <c r="Q53" s="2" t="s">
        <v>15</v>
      </c>
    </row>
    <row r="54" spans="1:17" s="148" customFormat="1" ht="16.5" x14ac:dyDescent="0.3">
      <c r="A54" s="37">
        <v>43222</v>
      </c>
      <c r="B54" s="2" t="s">
        <v>449</v>
      </c>
      <c r="C54" s="3" t="s">
        <v>442</v>
      </c>
      <c r="D54" s="2">
        <v>1.0008999999999999</v>
      </c>
      <c r="E54" s="3">
        <v>45.927999999999997</v>
      </c>
      <c r="F54" s="2">
        <v>1</v>
      </c>
      <c r="G54" s="2">
        <v>46.404299999999999</v>
      </c>
      <c r="H54" s="2">
        <f t="shared" si="1"/>
        <v>0.47630000000000194</v>
      </c>
      <c r="I54" s="20"/>
      <c r="J54" s="38" t="e">
        <f>+#REF!/100</f>
        <v>#REF!</v>
      </c>
      <c r="K54" s="204" t="e">
        <f>(((H54+H55)/2)-I55-J54-$K$38)/((D54+D55)/2)*100</f>
        <v>#REF!</v>
      </c>
      <c r="L54" s="202" t="e">
        <f>+K54*(100-'GRASA AOAC 920.39'!I147)/100</f>
        <v>#REF!</v>
      </c>
      <c r="M54" s="202" t="e">
        <f>+L54+L56</f>
        <v>#REF!</v>
      </c>
      <c r="N54" s="202" t="e">
        <f>+L54</f>
        <v>#REF!</v>
      </c>
      <c r="O54" s="204" t="e">
        <f>+L56</f>
        <v>#REF!</v>
      </c>
      <c r="P54" s="2" t="s">
        <v>14</v>
      </c>
      <c r="Q54" s="150" t="s">
        <v>15</v>
      </c>
    </row>
    <row r="55" spans="1:17" s="148" customFormat="1" ht="16.5" x14ac:dyDescent="0.3">
      <c r="A55" s="37">
        <v>43222</v>
      </c>
      <c r="B55" s="2" t="s">
        <v>449</v>
      </c>
      <c r="C55" s="3" t="s">
        <v>442</v>
      </c>
      <c r="D55" s="2">
        <v>1.0004</v>
      </c>
      <c r="E55" s="3">
        <v>46.411499999999997</v>
      </c>
      <c r="F55" s="2">
        <v>3</v>
      </c>
      <c r="G55" s="2">
        <v>46.856400000000001</v>
      </c>
      <c r="H55" s="2">
        <f t="shared" si="1"/>
        <v>0.44490000000000407</v>
      </c>
      <c r="I55" s="38">
        <f>+'PROTEÍNA AOAC 2001.11'!I107/100</f>
        <v>8.8763064733647201E-2</v>
      </c>
      <c r="J55" s="20"/>
      <c r="K55" s="204"/>
      <c r="L55" s="202"/>
      <c r="M55" s="202"/>
      <c r="N55" s="202"/>
      <c r="O55" s="204"/>
      <c r="P55" s="2" t="s">
        <v>14</v>
      </c>
      <c r="Q55" s="150" t="s">
        <v>15</v>
      </c>
    </row>
    <row r="56" spans="1:17" s="148" customFormat="1" ht="16.5" x14ac:dyDescent="0.3">
      <c r="A56" s="37">
        <v>43222</v>
      </c>
      <c r="B56" s="2" t="s">
        <v>450</v>
      </c>
      <c r="C56" s="3" t="s">
        <v>442</v>
      </c>
      <c r="D56" s="2">
        <v>1.0008999999999999</v>
      </c>
      <c r="E56" s="3">
        <v>47.247999999999998</v>
      </c>
      <c r="F56" s="2">
        <v>5</v>
      </c>
      <c r="G56" s="2">
        <v>47.366199999999999</v>
      </c>
      <c r="H56" s="2">
        <f t="shared" si="1"/>
        <v>0.11820000000000164</v>
      </c>
      <c r="I56" s="20"/>
      <c r="J56" s="56" t="e">
        <f>+#REF!/100</f>
        <v>#REF!</v>
      </c>
      <c r="K56" s="204" t="e">
        <f>(((H56+H57)/2)-I57-J56-$K$40)/((D56+D57)/2)*100</f>
        <v>#REF!</v>
      </c>
      <c r="L56" s="202" t="e">
        <f>+K56*(100-'GRASA AOAC 920.39'!I147)/100</f>
        <v>#REF!</v>
      </c>
      <c r="M56" s="202"/>
      <c r="N56" s="202"/>
      <c r="O56" s="204"/>
      <c r="P56" s="2" t="s">
        <v>14</v>
      </c>
      <c r="Q56" s="150" t="s">
        <v>15</v>
      </c>
    </row>
    <row r="57" spans="1:17" s="148" customFormat="1" ht="16.5" x14ac:dyDescent="0.3">
      <c r="A57" s="37">
        <v>43222</v>
      </c>
      <c r="B57" s="2" t="s">
        <v>450</v>
      </c>
      <c r="C57" s="3" t="s">
        <v>442</v>
      </c>
      <c r="D57" s="2">
        <v>1.0004</v>
      </c>
      <c r="E57" s="3">
        <v>46.424399999999999</v>
      </c>
      <c r="F57" s="2">
        <v>7</v>
      </c>
      <c r="G57" s="2">
        <v>46.524700000000003</v>
      </c>
      <c r="H57" s="2">
        <f t="shared" si="1"/>
        <v>0.10030000000000427</v>
      </c>
      <c r="I57" s="38">
        <f>+'PROTEÍNA AOAC 2001.11'!I108/100</f>
        <v>7.5951520438680725E-2</v>
      </c>
      <c r="J57" s="20"/>
      <c r="K57" s="204"/>
      <c r="L57" s="202"/>
      <c r="M57" s="202"/>
      <c r="N57" s="202"/>
      <c r="O57" s="204"/>
      <c r="P57" s="2" t="s">
        <v>14</v>
      </c>
      <c r="Q57" s="150" t="s">
        <v>15</v>
      </c>
    </row>
    <row r="58" spans="1:17" s="148" customFormat="1" ht="16.5" x14ac:dyDescent="0.3">
      <c r="A58" s="37">
        <v>43230</v>
      </c>
      <c r="B58" s="2" t="s">
        <v>494</v>
      </c>
      <c r="C58" s="3" t="s">
        <v>495</v>
      </c>
      <c r="D58" s="2">
        <v>1.0008999999999999</v>
      </c>
      <c r="E58" s="3">
        <v>46.820300000000003</v>
      </c>
      <c r="F58" s="2">
        <v>2</v>
      </c>
      <c r="G58" s="2">
        <v>46.866999999999997</v>
      </c>
      <c r="H58" s="2">
        <f t="shared" si="1"/>
        <v>4.6699999999994191E-2</v>
      </c>
      <c r="I58" s="20"/>
      <c r="J58" s="2">
        <v>0</v>
      </c>
      <c r="K58" s="204">
        <f>(((H58+H59)/2)-I59-J58-$K$2)/((D58+D59)/2)*100</f>
        <v>40.559679204271134</v>
      </c>
      <c r="L58" s="202" t="s">
        <v>10</v>
      </c>
      <c r="M58" s="202" t="s">
        <v>10</v>
      </c>
      <c r="N58" s="202" t="s">
        <v>10</v>
      </c>
      <c r="O58" s="202" t="s">
        <v>10</v>
      </c>
      <c r="P58" s="2" t="s">
        <v>14</v>
      </c>
      <c r="Q58" s="150" t="s">
        <v>15</v>
      </c>
    </row>
    <row r="59" spans="1:17" s="148" customFormat="1" ht="16.5" x14ac:dyDescent="0.3">
      <c r="A59" s="37">
        <v>43230</v>
      </c>
      <c r="B59" s="2" t="s">
        <v>494</v>
      </c>
      <c r="C59" s="3" t="s">
        <v>495</v>
      </c>
      <c r="D59" s="2">
        <v>1.0008999999999999</v>
      </c>
      <c r="E59" s="3">
        <v>45.676499999999997</v>
      </c>
      <c r="F59" s="2">
        <v>3</v>
      </c>
      <c r="G59" s="2">
        <v>45.734900000000003</v>
      </c>
      <c r="H59" s="2">
        <f t="shared" si="1"/>
        <v>5.8400000000006003E-2</v>
      </c>
      <c r="I59" s="56">
        <f>+'PROTEÍNA AOAC 2001.11'!I127/100</f>
        <v>2.8487799657531322E-2</v>
      </c>
      <c r="J59" s="54"/>
      <c r="K59" s="204"/>
      <c r="L59" s="202"/>
      <c r="M59" s="202"/>
      <c r="N59" s="202"/>
      <c r="O59" s="202"/>
      <c r="P59" s="2" t="s">
        <v>14</v>
      </c>
      <c r="Q59" s="150" t="s">
        <v>15</v>
      </c>
    </row>
    <row r="60" spans="1:17" s="148" customFormat="1" ht="16.5" x14ac:dyDescent="0.3">
      <c r="A60" s="37">
        <v>43241</v>
      </c>
      <c r="B60" s="2" t="s">
        <v>515</v>
      </c>
      <c r="C60" s="3" t="s">
        <v>514</v>
      </c>
      <c r="D60" s="2">
        <v>1.0004999999999999</v>
      </c>
      <c r="E60" s="3">
        <v>45.861800000000002</v>
      </c>
      <c r="F60" s="2">
        <v>3</v>
      </c>
      <c r="G60" s="2">
        <v>46.224600000000002</v>
      </c>
      <c r="H60" s="2">
        <f t="shared" si="1"/>
        <v>0.36280000000000001</v>
      </c>
      <c r="I60" s="54"/>
      <c r="J60" s="56" t="e">
        <f>+#REF!/100</f>
        <v>#REF!</v>
      </c>
      <c r="K60" s="204" t="e">
        <f>(((H60+H61)/2)-I61-J60-0)/((D60+D61)/2)*100</f>
        <v>#REF!</v>
      </c>
      <c r="L60" s="204" t="e">
        <f>+K60*(100-29.9-#REF!)/100</f>
        <v>#REF!</v>
      </c>
      <c r="M60" s="202" t="s">
        <v>10</v>
      </c>
      <c r="N60" s="202" t="s">
        <v>10</v>
      </c>
      <c r="O60" s="202" t="s">
        <v>10</v>
      </c>
      <c r="P60" s="2" t="s">
        <v>14</v>
      </c>
      <c r="Q60" s="150" t="s">
        <v>15</v>
      </c>
    </row>
    <row r="61" spans="1:17" s="148" customFormat="1" ht="16.5" x14ac:dyDescent="0.3">
      <c r="A61" s="37">
        <v>43241</v>
      </c>
      <c r="B61" s="2" t="s">
        <v>515</v>
      </c>
      <c r="C61" s="3" t="s">
        <v>514</v>
      </c>
      <c r="D61" s="2">
        <v>1</v>
      </c>
      <c r="E61" s="3">
        <v>46.272500000000001</v>
      </c>
      <c r="F61" s="2">
        <v>1</v>
      </c>
      <c r="G61" s="2">
        <v>46.604399999999998</v>
      </c>
      <c r="H61" s="2">
        <f t="shared" si="1"/>
        <v>0.33189999999999742</v>
      </c>
      <c r="I61" s="56">
        <f>+'PROTEÍNA AOAC 2001.11'!I141</f>
        <v>0.2374397408858108</v>
      </c>
      <c r="J61" s="54"/>
      <c r="K61" s="204"/>
      <c r="L61" s="204"/>
      <c r="M61" s="202"/>
      <c r="N61" s="202"/>
      <c r="O61" s="202"/>
      <c r="P61" s="2" t="s">
        <v>14</v>
      </c>
      <c r="Q61" s="150" t="s">
        <v>15</v>
      </c>
    </row>
    <row r="62" spans="1:17" ht="16.5" x14ac:dyDescent="0.3">
      <c r="A62" s="37">
        <v>43249</v>
      </c>
      <c r="B62" s="2" t="s">
        <v>556</v>
      </c>
      <c r="C62" s="3" t="s">
        <v>10</v>
      </c>
      <c r="D62" s="2" t="s">
        <v>127</v>
      </c>
      <c r="E62" s="2">
        <v>46.592100000000002</v>
      </c>
      <c r="F62" s="2">
        <v>5</v>
      </c>
      <c r="G62" s="2">
        <v>46.610300000000002</v>
      </c>
      <c r="H62" s="2">
        <f t="shared" si="1"/>
        <v>1.8200000000000216E-2</v>
      </c>
      <c r="I62" s="54"/>
      <c r="J62" s="56" t="e">
        <f>+#REF!/100</f>
        <v>#REF!</v>
      </c>
      <c r="K62" s="204">
        <v>0</v>
      </c>
      <c r="L62" s="2" t="s">
        <v>10</v>
      </c>
      <c r="M62" s="2" t="s">
        <v>10</v>
      </c>
      <c r="N62" s="202" t="s">
        <v>10</v>
      </c>
      <c r="O62" s="202" t="s">
        <v>10</v>
      </c>
      <c r="P62" s="2" t="s">
        <v>14</v>
      </c>
      <c r="Q62" s="150" t="s">
        <v>15</v>
      </c>
    </row>
    <row r="63" spans="1:17" ht="16.5" x14ac:dyDescent="0.3">
      <c r="A63" s="37">
        <v>43249</v>
      </c>
      <c r="B63" s="2" t="s">
        <v>556</v>
      </c>
      <c r="C63" s="3" t="s">
        <v>10</v>
      </c>
      <c r="D63" s="2" t="s">
        <v>127</v>
      </c>
      <c r="E63" s="2">
        <v>44.276499999999999</v>
      </c>
      <c r="F63" s="2">
        <v>7</v>
      </c>
      <c r="G63" s="2">
        <v>44.292900000000003</v>
      </c>
      <c r="H63" s="2">
        <f t="shared" si="1"/>
        <v>1.6400000000004411E-2</v>
      </c>
      <c r="I63" s="56">
        <f>+'PROTEÍNA AOAC 2001.11'!I154/100</f>
        <v>0.73680640243882611</v>
      </c>
      <c r="J63" s="54"/>
      <c r="K63" s="204"/>
      <c r="L63" s="2" t="s">
        <v>1207</v>
      </c>
      <c r="M63" s="2" t="s">
        <v>10</v>
      </c>
      <c r="N63" s="202"/>
      <c r="O63" s="202"/>
      <c r="P63" s="2" t="s">
        <v>14</v>
      </c>
      <c r="Q63" s="2" t="s">
        <v>15</v>
      </c>
    </row>
    <row r="64" spans="1:17" ht="16.5" x14ac:dyDescent="0.3">
      <c r="A64" s="37">
        <v>43249</v>
      </c>
      <c r="B64" s="2" t="s">
        <v>544</v>
      </c>
      <c r="C64" s="3" t="s">
        <v>543</v>
      </c>
      <c r="D64" s="2">
        <v>1.0008999999999999</v>
      </c>
      <c r="E64" s="3">
        <v>46.078099999999999</v>
      </c>
      <c r="F64" s="2">
        <v>2</v>
      </c>
      <c r="G64" s="2">
        <v>46.525300000000001</v>
      </c>
      <c r="H64" s="2">
        <f t="shared" si="1"/>
        <v>0.44720000000000226</v>
      </c>
      <c r="I64" s="54"/>
      <c r="J64" s="56" t="e">
        <f>+#REF!/100</f>
        <v>#REF!</v>
      </c>
      <c r="K64" s="204" t="e">
        <f>(((H64+H65)/2)-I65-J64-$K$62)/((D64+D65)/2)*100</f>
        <v>#REF!</v>
      </c>
      <c r="L64" s="202">
        <v>0</v>
      </c>
      <c r="M64" s="2" t="s">
        <v>10</v>
      </c>
      <c r="N64" s="202" t="s">
        <v>10</v>
      </c>
      <c r="O64" s="202" t="s">
        <v>10</v>
      </c>
      <c r="P64" s="2" t="s">
        <v>14</v>
      </c>
      <c r="Q64" s="2" t="s">
        <v>15</v>
      </c>
    </row>
    <row r="65" spans="1:17" ht="16.5" x14ac:dyDescent="0.3">
      <c r="A65" s="37">
        <v>43249</v>
      </c>
      <c r="B65" s="2" t="s">
        <v>557</v>
      </c>
      <c r="C65" s="3" t="s">
        <v>543</v>
      </c>
      <c r="D65" s="2">
        <v>1.0008999999999999</v>
      </c>
      <c r="E65" s="3">
        <v>46.060400000000001</v>
      </c>
      <c r="F65" s="2">
        <v>4</v>
      </c>
      <c r="G65" s="2">
        <v>46.478000000000002</v>
      </c>
      <c r="H65" s="2">
        <f t="shared" si="1"/>
        <v>0.41760000000000019</v>
      </c>
      <c r="I65" s="56">
        <f>+'PROTEÍNA AOAC 2001.11'!I155/100</f>
        <v>0.82228232758620667</v>
      </c>
      <c r="J65" s="54"/>
      <c r="K65" s="204"/>
      <c r="L65" s="202"/>
      <c r="M65" s="2" t="s">
        <v>10</v>
      </c>
      <c r="N65" s="202"/>
      <c r="O65" s="202"/>
      <c r="P65" s="2" t="s">
        <v>14</v>
      </c>
      <c r="Q65" s="2" t="s">
        <v>15</v>
      </c>
    </row>
    <row r="66" spans="1:17" ht="16.5" x14ac:dyDescent="0.3">
      <c r="A66" s="37">
        <v>43251</v>
      </c>
      <c r="B66" s="2" t="s">
        <v>494</v>
      </c>
      <c r="C66" s="3" t="s">
        <v>495</v>
      </c>
      <c r="D66" s="2">
        <v>1.0007999999999999</v>
      </c>
      <c r="E66" s="3">
        <v>46.557099999999998</v>
      </c>
      <c r="F66" s="2">
        <v>4</v>
      </c>
      <c r="G66" s="2">
        <v>46.5946</v>
      </c>
      <c r="H66" s="2">
        <f t="shared" si="1"/>
        <v>3.7500000000001421E-2</v>
      </c>
      <c r="I66" s="54"/>
      <c r="J66" s="56">
        <v>0</v>
      </c>
      <c r="K66" s="204">
        <f>(((H66+H67)/2)-I67-J66-$K$62)/((D66+D67)/2)*100</f>
        <v>3.1027686153832166</v>
      </c>
      <c r="L66" s="2"/>
      <c r="M66" s="2" t="s">
        <v>10</v>
      </c>
      <c r="N66" s="202" t="s">
        <v>10</v>
      </c>
      <c r="O66" s="202" t="s">
        <v>10</v>
      </c>
      <c r="P66" s="2" t="s">
        <v>14</v>
      </c>
      <c r="Q66" s="2" t="s">
        <v>15</v>
      </c>
    </row>
    <row r="67" spans="1:17" ht="16.5" x14ac:dyDescent="0.3">
      <c r="A67" s="37">
        <v>43251</v>
      </c>
      <c r="B67" s="2" t="s">
        <v>494</v>
      </c>
      <c r="C67" s="3" t="s">
        <v>495</v>
      </c>
      <c r="D67" s="2">
        <v>1.0003</v>
      </c>
      <c r="E67" s="3">
        <v>46.649099999999997</v>
      </c>
      <c r="F67" s="2">
        <v>5</v>
      </c>
      <c r="G67" s="2">
        <v>46.685299999999998</v>
      </c>
      <c r="H67" s="2">
        <f t="shared" si="1"/>
        <v>3.6200000000000898E-2</v>
      </c>
      <c r="I67" s="56">
        <f>+'PROTEÍNA AOAC 2001.11'!I156/100</f>
        <v>5.8052486187843864E-3</v>
      </c>
      <c r="J67" s="54"/>
      <c r="K67" s="204"/>
      <c r="L67" s="2"/>
      <c r="M67" s="2" t="s">
        <v>10</v>
      </c>
      <c r="N67" s="202"/>
      <c r="O67" s="202"/>
      <c r="P67" s="2" t="s">
        <v>14</v>
      </c>
      <c r="Q67" s="2" t="s">
        <v>15</v>
      </c>
    </row>
    <row r="68" spans="1:17" ht="16.5" x14ac:dyDescent="0.3">
      <c r="A68" s="37">
        <v>43251</v>
      </c>
      <c r="B68" s="2" t="s">
        <v>545</v>
      </c>
      <c r="C68" s="3" t="s">
        <v>546</v>
      </c>
      <c r="D68" s="2">
        <v>0.75090000000000001</v>
      </c>
      <c r="E68" s="3">
        <v>46.367100000000001</v>
      </c>
      <c r="F68" s="2">
        <v>1</v>
      </c>
      <c r="G68" s="2">
        <v>46.8324</v>
      </c>
      <c r="H68" s="2">
        <f t="shared" si="1"/>
        <v>0.46529999999999916</v>
      </c>
      <c r="I68" s="54"/>
      <c r="J68" s="56" t="e">
        <f>+#REF!/100</f>
        <v>#REF!</v>
      </c>
      <c r="K68" s="204" t="e">
        <f>(((H68+H69)/2)-I69-J68-$K$62)/((D68+D69)/2)*100</f>
        <v>#REF!</v>
      </c>
      <c r="L68" s="204" t="e">
        <f>+K68*(100-'GRASA AOAC 920.39'!I191)/100</f>
        <v>#REF!</v>
      </c>
      <c r="M68" s="2" t="s">
        <v>10</v>
      </c>
      <c r="N68" s="202" t="s">
        <v>10</v>
      </c>
      <c r="O68" s="202" t="s">
        <v>10</v>
      </c>
      <c r="P68" s="2" t="s">
        <v>14</v>
      </c>
      <c r="Q68" s="2" t="s">
        <v>15</v>
      </c>
    </row>
    <row r="69" spans="1:17" ht="16.5" x14ac:dyDescent="0.3">
      <c r="A69" s="37">
        <v>43251</v>
      </c>
      <c r="B69" s="2" t="s">
        <v>545</v>
      </c>
      <c r="C69" s="3" t="s">
        <v>546</v>
      </c>
      <c r="D69" s="2">
        <v>0.75019999999999998</v>
      </c>
      <c r="E69" s="3">
        <v>45.369500000000002</v>
      </c>
      <c r="F69" s="2">
        <v>3</v>
      </c>
      <c r="G69" s="2">
        <v>45.828299999999999</v>
      </c>
      <c r="H69" s="2">
        <f t="shared" si="1"/>
        <v>0.45879999999999654</v>
      </c>
      <c r="I69" s="56">
        <f>+'PROTEÍNA AOAC 2001.11'!I161/100</f>
        <v>0.12451127942458683</v>
      </c>
      <c r="J69" s="54"/>
      <c r="K69" s="204"/>
      <c r="L69" s="204"/>
      <c r="M69" s="2" t="s">
        <v>10</v>
      </c>
      <c r="N69" s="202"/>
      <c r="O69" s="202"/>
      <c r="P69" s="2" t="s">
        <v>14</v>
      </c>
      <c r="Q69" s="2" t="s">
        <v>15</v>
      </c>
    </row>
    <row r="70" spans="1:17" ht="16.5" x14ac:dyDescent="0.3">
      <c r="A70" s="37">
        <v>43259</v>
      </c>
      <c r="B70" s="2" t="s">
        <v>568</v>
      </c>
      <c r="C70" s="3" t="s">
        <v>570</v>
      </c>
      <c r="D70" s="2">
        <v>1.0008999999999999</v>
      </c>
      <c r="E70" s="3">
        <v>44.351900000000001</v>
      </c>
      <c r="F70" s="2">
        <v>7</v>
      </c>
      <c r="G70" s="2">
        <v>44.7883</v>
      </c>
      <c r="H70" s="2">
        <f t="shared" si="1"/>
        <v>0.43639999999999901</v>
      </c>
      <c r="I70" s="54"/>
      <c r="J70" s="56" t="e">
        <f>+#REF!/100</f>
        <v>#REF!</v>
      </c>
      <c r="K70" s="204" t="e">
        <f>(((H70+H71)/2)-I71-J70-$K$62)/((D70+D71)/2)*100</f>
        <v>#REF!</v>
      </c>
      <c r="L70" s="204" t="e">
        <f>+K70*(100-'GRASA AOAC 920.39'!I193)/100</f>
        <v>#REF!</v>
      </c>
      <c r="M70" s="2" t="s">
        <v>10</v>
      </c>
      <c r="N70" s="202" t="s">
        <v>10</v>
      </c>
      <c r="O70" s="202" t="s">
        <v>10</v>
      </c>
      <c r="P70" s="2" t="s">
        <v>14</v>
      </c>
      <c r="Q70" s="2" t="s">
        <v>15</v>
      </c>
    </row>
    <row r="71" spans="1:17" ht="16.5" x14ac:dyDescent="0.3">
      <c r="A71" s="37">
        <v>43259</v>
      </c>
      <c r="B71" s="2" t="s">
        <v>568</v>
      </c>
      <c r="C71" s="3" t="s">
        <v>570</v>
      </c>
      <c r="D71" s="2">
        <v>1.0006999999999999</v>
      </c>
      <c r="E71" s="3">
        <v>46.428899999999999</v>
      </c>
      <c r="F71" s="2">
        <v>8</v>
      </c>
      <c r="G71" s="2">
        <v>46.890099999999997</v>
      </c>
      <c r="H71" s="2">
        <f t="shared" si="1"/>
        <v>0.46119999999999806</v>
      </c>
      <c r="I71" s="56">
        <f>+'PROTEÍNA AOAC 2001.11'!I166/100</f>
        <v>0.23071541630529149</v>
      </c>
      <c r="J71" s="54"/>
      <c r="K71" s="204"/>
      <c r="L71" s="204"/>
      <c r="M71" s="2" t="s">
        <v>10</v>
      </c>
      <c r="N71" s="202"/>
      <c r="O71" s="202"/>
      <c r="P71" s="2" t="s">
        <v>14</v>
      </c>
      <c r="Q71" s="2" t="s">
        <v>15</v>
      </c>
    </row>
    <row r="72" spans="1:17" ht="16.5" x14ac:dyDescent="0.3">
      <c r="A72" s="37">
        <v>43269</v>
      </c>
      <c r="B72" s="2" t="s">
        <v>648</v>
      </c>
      <c r="C72" s="3" t="s">
        <v>649</v>
      </c>
      <c r="D72" s="2">
        <v>1.0005999999999999</v>
      </c>
      <c r="E72" s="3">
        <v>46.126600000000003</v>
      </c>
      <c r="F72" s="2">
        <v>1</v>
      </c>
      <c r="G72" s="2">
        <v>46.664200000000001</v>
      </c>
      <c r="H72" s="2">
        <f t="shared" si="1"/>
        <v>0.53759999999999764</v>
      </c>
      <c r="I72" s="54"/>
      <c r="J72" s="56" t="e">
        <f>+#REF!/100</f>
        <v>#REF!</v>
      </c>
      <c r="K72" s="204" t="e">
        <f>(((H72+H73)/2)-I73-J72-$K$62)/((D72+D73)/2)*100</f>
        <v>#REF!</v>
      </c>
      <c r="L72" s="204" t="e">
        <f>+K72*(100-'GRASA AOAC 920.39'!I212-#REF!)/100</f>
        <v>#REF!</v>
      </c>
      <c r="M72" s="2" t="s">
        <v>10</v>
      </c>
      <c r="N72" s="202" t="s">
        <v>10</v>
      </c>
      <c r="O72" s="202" t="s">
        <v>10</v>
      </c>
      <c r="P72" s="2" t="s">
        <v>14</v>
      </c>
      <c r="Q72" s="2" t="s">
        <v>15</v>
      </c>
    </row>
    <row r="73" spans="1:17" ht="16.5" x14ac:dyDescent="0.3">
      <c r="A73" s="37">
        <v>43269</v>
      </c>
      <c r="B73" s="2" t="s">
        <v>648</v>
      </c>
      <c r="C73" s="3" t="s">
        <v>649</v>
      </c>
      <c r="D73" s="2">
        <v>1.0005999999999999</v>
      </c>
      <c r="E73" s="3">
        <v>46.934100000000001</v>
      </c>
      <c r="F73" s="2">
        <v>8</v>
      </c>
      <c r="G73" s="2">
        <v>47.464799999999997</v>
      </c>
      <c r="H73" s="2">
        <f t="shared" si="1"/>
        <v>0.53069999999999595</v>
      </c>
      <c r="I73" s="56">
        <f>+'PROTEÍNA AOAC 2001.11'!I202/100</f>
        <v>0.51064100480497854</v>
      </c>
      <c r="J73" s="54"/>
      <c r="K73" s="204"/>
      <c r="L73" s="204"/>
      <c r="M73" s="2" t="s">
        <v>10</v>
      </c>
      <c r="N73" s="202"/>
      <c r="O73" s="202"/>
      <c r="P73" s="2" t="s">
        <v>14</v>
      </c>
      <c r="Q73" s="2" t="s">
        <v>15</v>
      </c>
    </row>
    <row r="74" spans="1:17" ht="16.5" x14ac:dyDescent="0.3">
      <c r="A74" s="31">
        <v>43271</v>
      </c>
      <c r="B74" s="2" t="s">
        <v>674</v>
      </c>
      <c r="C74" s="3" t="s">
        <v>673</v>
      </c>
      <c r="D74" s="2">
        <v>1.0004999999999999</v>
      </c>
      <c r="E74" s="3">
        <v>45.947400000000002</v>
      </c>
      <c r="F74" s="2">
        <v>2</v>
      </c>
      <c r="G74" s="2">
        <v>46.333599999999997</v>
      </c>
      <c r="H74" s="2">
        <f t="shared" si="1"/>
        <v>0.38619999999999521</v>
      </c>
      <c r="I74" s="54"/>
      <c r="J74" s="56" t="e">
        <f>+#REF!/100</f>
        <v>#REF!</v>
      </c>
      <c r="K74" s="204" t="e">
        <f>(((H74+H75)/2)-I75-J74-$K$62)/((D74+D75)/2)*100</f>
        <v>#REF!</v>
      </c>
      <c r="L74" s="202" t="s">
        <v>10</v>
      </c>
      <c r="M74" s="2" t="s">
        <v>10</v>
      </c>
      <c r="N74" s="202" t="s">
        <v>10</v>
      </c>
      <c r="O74" s="202" t="s">
        <v>10</v>
      </c>
      <c r="P74" s="2" t="s">
        <v>14</v>
      </c>
      <c r="Q74" s="2" t="s">
        <v>15</v>
      </c>
    </row>
    <row r="75" spans="1:17" ht="16.5" x14ac:dyDescent="0.3">
      <c r="A75" s="31">
        <v>43271</v>
      </c>
      <c r="B75" s="2" t="s">
        <v>674</v>
      </c>
      <c r="C75" s="3" t="s">
        <v>673</v>
      </c>
      <c r="D75" s="2">
        <v>1.0008999999999999</v>
      </c>
      <c r="E75" s="3">
        <v>45.242899999999999</v>
      </c>
      <c r="F75" s="2">
        <v>3</v>
      </c>
      <c r="G75" s="2">
        <v>45.651699999999998</v>
      </c>
      <c r="H75" s="2">
        <f t="shared" si="1"/>
        <v>0.40879999999999939</v>
      </c>
      <c r="I75" s="56">
        <f>+'PROTEÍNA AOAC 2001.11'!I209/100</f>
        <v>0.14882197896281824</v>
      </c>
      <c r="J75" s="54"/>
      <c r="K75" s="204"/>
      <c r="L75" s="202"/>
      <c r="M75" s="2" t="s">
        <v>10</v>
      </c>
      <c r="N75" s="202"/>
      <c r="O75" s="202"/>
      <c r="P75" s="2" t="s">
        <v>14</v>
      </c>
      <c r="Q75" s="2" t="s">
        <v>15</v>
      </c>
    </row>
    <row r="76" spans="1:17" ht="16.5" x14ac:dyDescent="0.3">
      <c r="A76" s="31">
        <v>43271</v>
      </c>
      <c r="B76" s="2" t="s">
        <v>676</v>
      </c>
      <c r="C76" s="3" t="s">
        <v>675</v>
      </c>
      <c r="D76" s="2">
        <v>1.0008999999999999</v>
      </c>
      <c r="E76" s="3">
        <v>45.974899999999998</v>
      </c>
      <c r="F76" s="2">
        <v>4</v>
      </c>
      <c r="G76" s="2">
        <v>46.137999999999998</v>
      </c>
      <c r="H76" s="2">
        <f t="shared" si="1"/>
        <v>0.16310000000000002</v>
      </c>
      <c r="I76" s="54"/>
      <c r="J76" s="56" t="e">
        <f>+#REF!/100</f>
        <v>#REF!</v>
      </c>
      <c r="K76" s="204" t="e">
        <f>(((H76+H77)/2)-I77-J76-$K$62)/((D76+D77)/2)*100</f>
        <v>#REF!</v>
      </c>
      <c r="L76" s="202" t="s">
        <v>10</v>
      </c>
      <c r="M76" s="2" t="s">
        <v>10</v>
      </c>
      <c r="N76" s="202" t="s">
        <v>10</v>
      </c>
      <c r="O76" s="202" t="s">
        <v>10</v>
      </c>
      <c r="P76" s="2" t="s">
        <v>14</v>
      </c>
      <c r="Q76" s="2" t="s">
        <v>15</v>
      </c>
    </row>
    <row r="77" spans="1:17" ht="16.5" x14ac:dyDescent="0.3">
      <c r="A77" s="31">
        <v>43271</v>
      </c>
      <c r="B77" s="2" t="s">
        <v>676</v>
      </c>
      <c r="C77" s="3" t="s">
        <v>675</v>
      </c>
      <c r="D77" s="2">
        <v>1.0007999999999999</v>
      </c>
      <c r="E77" s="3">
        <v>46.386800000000001</v>
      </c>
      <c r="F77" s="2">
        <v>5</v>
      </c>
      <c r="G77" s="2">
        <v>46.544800000000002</v>
      </c>
      <c r="H77" s="2">
        <f t="shared" si="1"/>
        <v>0.15800000000000125</v>
      </c>
      <c r="I77" s="56">
        <f>+'PROTEÍNA AOAC 2001.11'!I210/100</f>
        <v>7.5924446202531052E-3</v>
      </c>
      <c r="J77" s="54"/>
      <c r="K77" s="204"/>
      <c r="L77" s="202"/>
      <c r="M77" s="2" t="s">
        <v>10</v>
      </c>
      <c r="N77" s="202"/>
      <c r="O77" s="202"/>
      <c r="P77" s="2" t="s">
        <v>14</v>
      </c>
      <c r="Q77" s="2" t="s">
        <v>15</v>
      </c>
    </row>
    <row r="78" spans="1:17" ht="16.5" x14ac:dyDescent="0.3">
      <c r="A78" s="31">
        <v>43272</v>
      </c>
      <c r="B78" s="2" t="s">
        <v>678</v>
      </c>
      <c r="C78" s="3" t="s">
        <v>677</v>
      </c>
      <c r="D78" s="2">
        <v>1.0004999999999999</v>
      </c>
      <c r="E78" s="3">
        <v>46.563099999999999</v>
      </c>
      <c r="F78" s="2">
        <v>8</v>
      </c>
      <c r="G78" s="2">
        <v>46.593200000000003</v>
      </c>
      <c r="H78" s="2">
        <f t="shared" si="1"/>
        <v>3.0100000000004457E-2</v>
      </c>
      <c r="I78" s="54"/>
      <c r="J78" s="56" t="e">
        <f>+#REF!/100</f>
        <v>#REF!</v>
      </c>
      <c r="K78" s="204" t="e">
        <f>(((H78+H79)/2)-I79-J78-$K$62)/((D78+D79)/2)*100</f>
        <v>#REF!</v>
      </c>
      <c r="L78" s="202" t="s">
        <v>10</v>
      </c>
      <c r="M78" s="2" t="s">
        <v>10</v>
      </c>
      <c r="N78" s="202" t="s">
        <v>10</v>
      </c>
      <c r="O78" s="202" t="s">
        <v>10</v>
      </c>
      <c r="P78" s="2" t="s">
        <v>14</v>
      </c>
      <c r="Q78" s="2" t="s">
        <v>15</v>
      </c>
    </row>
    <row r="79" spans="1:17" ht="16.5" x14ac:dyDescent="0.3">
      <c r="A79" s="31">
        <v>43272</v>
      </c>
      <c r="B79" s="2" t="s">
        <v>678</v>
      </c>
      <c r="C79" s="3" t="s">
        <v>677</v>
      </c>
      <c r="D79" s="2">
        <v>1.0008999999999999</v>
      </c>
      <c r="E79" s="3">
        <v>44.7684</v>
      </c>
      <c r="F79" s="2">
        <v>7</v>
      </c>
      <c r="G79" s="2">
        <v>44.797400000000003</v>
      </c>
      <c r="H79" s="2">
        <f t="shared" si="1"/>
        <v>2.9000000000003467E-2</v>
      </c>
      <c r="I79" s="56">
        <f>+'PROTEÍNA AOAC 2001.11'!I211/100</f>
        <v>0.48129181034477009</v>
      </c>
      <c r="J79" s="54"/>
      <c r="K79" s="204"/>
      <c r="L79" s="202"/>
      <c r="M79" s="2" t="s">
        <v>10</v>
      </c>
      <c r="N79" s="202"/>
      <c r="O79" s="202"/>
      <c r="P79" s="2" t="s">
        <v>14</v>
      </c>
      <c r="Q79" s="2" t="s">
        <v>15</v>
      </c>
    </row>
    <row r="80" spans="1:17" ht="16.5" x14ac:dyDescent="0.3">
      <c r="A80" s="31">
        <v>43279</v>
      </c>
      <c r="B80" s="2" t="s">
        <v>729</v>
      </c>
      <c r="C80" s="3" t="s">
        <v>723</v>
      </c>
      <c r="D80" s="2">
        <v>1.0008999999999999</v>
      </c>
      <c r="E80" s="3">
        <v>46.103400000000001</v>
      </c>
      <c r="F80" s="2">
        <v>4</v>
      </c>
      <c r="G80" s="2">
        <v>46.135599999999997</v>
      </c>
      <c r="H80" s="2">
        <f t="shared" si="1"/>
        <v>3.219999999999601E-2</v>
      </c>
      <c r="I80" s="54"/>
      <c r="J80" s="56" t="e">
        <f>+#REF!</f>
        <v>#REF!</v>
      </c>
      <c r="K80" s="204" t="e">
        <f>(((H80+H81)/2)-I81-J80-$K$38)/((D80+D81)/2)*100</f>
        <v>#REF!</v>
      </c>
      <c r="L80" s="202" t="s">
        <v>10</v>
      </c>
      <c r="M80" s="204">
        <v>0</v>
      </c>
      <c r="N80" s="204">
        <v>0</v>
      </c>
      <c r="O80" s="204">
        <v>0</v>
      </c>
      <c r="P80" s="2" t="s">
        <v>14</v>
      </c>
      <c r="Q80" s="2" t="s">
        <v>15</v>
      </c>
    </row>
    <row r="81" spans="1:17" ht="16.5" x14ac:dyDescent="0.3">
      <c r="A81" s="31">
        <v>43279</v>
      </c>
      <c r="B81" s="2" t="s">
        <v>729</v>
      </c>
      <c r="C81" s="3" t="s">
        <v>723</v>
      </c>
      <c r="D81" s="2">
        <v>1.0003</v>
      </c>
      <c r="E81" s="3">
        <v>46.186199999999999</v>
      </c>
      <c r="F81" s="2">
        <v>1</v>
      </c>
      <c r="G81" s="2">
        <v>46.213999999999999</v>
      </c>
      <c r="H81" s="2">
        <f t="shared" si="1"/>
        <v>2.7799999999999159E-2</v>
      </c>
      <c r="I81" s="56">
        <f>+'PROTEÍNA AOAC 2001.11'!I223/100</f>
        <v>0.23056025179856815</v>
      </c>
      <c r="J81" s="54"/>
      <c r="K81" s="204"/>
      <c r="L81" s="202"/>
      <c r="M81" s="204"/>
      <c r="N81" s="204"/>
      <c r="O81" s="204"/>
      <c r="P81" s="2" t="s">
        <v>14</v>
      </c>
      <c r="Q81" s="2" t="s">
        <v>15</v>
      </c>
    </row>
    <row r="82" spans="1:17" ht="16.5" x14ac:dyDescent="0.3">
      <c r="A82" s="31">
        <v>43279</v>
      </c>
      <c r="B82" s="2" t="s">
        <v>730</v>
      </c>
      <c r="C82" s="3" t="s">
        <v>723</v>
      </c>
      <c r="D82" s="2">
        <v>1.0008999999999999</v>
      </c>
      <c r="E82" s="3">
        <v>46.1128</v>
      </c>
      <c r="F82" s="2">
        <v>8</v>
      </c>
      <c r="G82" s="2">
        <v>46.123600000000003</v>
      </c>
      <c r="H82" s="2">
        <f t="shared" si="1"/>
        <v>1.0800000000003251E-2</v>
      </c>
      <c r="I82" s="54"/>
      <c r="J82" s="56" t="e">
        <f>+#REF!/100</f>
        <v>#REF!</v>
      </c>
      <c r="K82" s="204" t="e">
        <f>(((H82+H83)/2)-I83-J82-$K$40)/((D82+D83)/2)*100</f>
        <v>#REF!</v>
      </c>
      <c r="L82" s="202" t="s">
        <v>10</v>
      </c>
      <c r="M82" s="204"/>
      <c r="N82" s="204"/>
      <c r="O82" s="204"/>
      <c r="P82" s="2" t="s">
        <v>14</v>
      </c>
      <c r="Q82" s="2" t="s">
        <v>15</v>
      </c>
    </row>
    <row r="83" spans="1:17" ht="16.5" x14ac:dyDescent="0.3">
      <c r="A83" s="31">
        <v>43279</v>
      </c>
      <c r="B83" s="2" t="s">
        <v>730</v>
      </c>
      <c r="C83" s="3" t="s">
        <v>723</v>
      </c>
      <c r="D83" s="2">
        <v>1.0003</v>
      </c>
      <c r="E83" s="3">
        <v>45.935600000000001</v>
      </c>
      <c r="F83" s="2">
        <v>6</v>
      </c>
      <c r="G83" s="2">
        <v>45.946100000000001</v>
      </c>
      <c r="H83" s="2">
        <f t="shared" si="1"/>
        <v>1.0500000000000398E-2</v>
      </c>
      <c r="I83" s="56">
        <f>+'PROTEÍNA AOAC 2001.11'!I224/100</f>
        <v>2.0014285714284957E-2</v>
      </c>
      <c r="J83" s="54"/>
      <c r="K83" s="204"/>
      <c r="L83" s="202"/>
      <c r="M83" s="204"/>
      <c r="N83" s="204"/>
      <c r="O83" s="204"/>
      <c r="P83" s="2" t="s">
        <v>14</v>
      </c>
      <c r="Q83" s="2" t="s">
        <v>15</v>
      </c>
    </row>
    <row r="84" spans="1:17" ht="16.5" x14ac:dyDescent="0.3">
      <c r="A84" s="31">
        <v>43279</v>
      </c>
      <c r="B84" s="2" t="s">
        <v>724</v>
      </c>
      <c r="C84" s="3" t="s">
        <v>725</v>
      </c>
      <c r="D84" s="2">
        <v>1.0001</v>
      </c>
      <c r="E84" s="3">
        <v>45.731400000000001</v>
      </c>
      <c r="F84" s="2">
        <v>2</v>
      </c>
      <c r="G84" s="2">
        <v>45.841000000000001</v>
      </c>
      <c r="H84" s="2">
        <f t="shared" si="1"/>
        <v>0.10960000000000036</v>
      </c>
      <c r="I84" s="54"/>
      <c r="J84" s="56" t="e">
        <f>+#REF!/100</f>
        <v>#REF!</v>
      </c>
      <c r="K84" s="204" t="e">
        <f>(((H84+H85)/2)-I85-J84-$K$62)/((D84+D85)/2)*100</f>
        <v>#REF!</v>
      </c>
      <c r="L84" s="202" t="s">
        <v>10</v>
      </c>
      <c r="M84" s="2" t="s">
        <v>10</v>
      </c>
      <c r="N84" s="2" t="s">
        <v>10</v>
      </c>
      <c r="O84" s="2" t="s">
        <v>10</v>
      </c>
      <c r="P84" s="2" t="s">
        <v>14</v>
      </c>
      <c r="Q84" s="2" t="s">
        <v>15</v>
      </c>
    </row>
    <row r="85" spans="1:17" ht="16.5" x14ac:dyDescent="0.3">
      <c r="A85" s="31">
        <v>43279</v>
      </c>
      <c r="B85" s="2" t="s">
        <v>724</v>
      </c>
      <c r="C85" s="3" t="s">
        <v>725</v>
      </c>
      <c r="D85" s="2">
        <v>1.0005999999999999</v>
      </c>
      <c r="E85" s="3">
        <v>47.049199999999999</v>
      </c>
      <c r="F85" s="2">
        <v>5</v>
      </c>
      <c r="G85" s="2">
        <v>47.155999999999999</v>
      </c>
      <c r="H85" s="2">
        <f t="shared" si="1"/>
        <v>0.10679999999999978</v>
      </c>
      <c r="I85" s="56">
        <f>+'PROTEÍNA AOAC 2001.11'!I225/100</f>
        <v>0.37664992977528167</v>
      </c>
      <c r="J85" s="54"/>
      <c r="K85" s="204"/>
      <c r="L85" s="202"/>
      <c r="M85" s="2" t="s">
        <v>10</v>
      </c>
      <c r="N85" s="2" t="s">
        <v>10</v>
      </c>
      <c r="O85" s="2" t="s">
        <v>10</v>
      </c>
      <c r="P85" s="2" t="s">
        <v>14</v>
      </c>
      <c r="Q85" s="2" t="s">
        <v>15</v>
      </c>
    </row>
    <row r="86" spans="1:17" ht="16.5" x14ac:dyDescent="0.3">
      <c r="A86" s="31">
        <v>43284</v>
      </c>
      <c r="B86" s="2" t="s">
        <v>724</v>
      </c>
      <c r="C86" s="3" t="s">
        <v>725</v>
      </c>
      <c r="D86" s="2">
        <v>1.0003</v>
      </c>
      <c r="E86" s="3">
        <v>44.539700000000003</v>
      </c>
      <c r="F86" s="2">
        <v>7</v>
      </c>
      <c r="G86" s="2">
        <v>44.639600000000002</v>
      </c>
      <c r="H86" s="2">
        <f t="shared" si="1"/>
        <v>9.9899999999998101E-2</v>
      </c>
      <c r="I86" s="54"/>
      <c r="J86" s="56" t="e">
        <f>+#REF!/100</f>
        <v>#REF!</v>
      </c>
      <c r="K86" s="204" t="e">
        <f>(((H86+H87)/2)-I87-J86-$K$62)/((D86+D87)/2)*100</f>
        <v>#REF!</v>
      </c>
      <c r="L86" s="202" t="s">
        <v>10</v>
      </c>
      <c r="M86" s="2" t="s">
        <v>10</v>
      </c>
      <c r="N86" s="2" t="s">
        <v>10</v>
      </c>
      <c r="O86" s="2" t="s">
        <v>10</v>
      </c>
      <c r="P86" s="2" t="s">
        <v>14</v>
      </c>
      <c r="Q86" s="2" t="s">
        <v>15</v>
      </c>
    </row>
    <row r="87" spans="1:17" ht="16.5" x14ac:dyDescent="0.3">
      <c r="A87" s="31">
        <v>43284</v>
      </c>
      <c r="B87" s="2" t="s">
        <v>724</v>
      </c>
      <c r="C87" s="3" t="s">
        <v>725</v>
      </c>
      <c r="D87" s="2">
        <v>1.0008999999999999</v>
      </c>
      <c r="E87" s="3">
        <v>46.5291</v>
      </c>
      <c r="F87" s="2">
        <v>8</v>
      </c>
      <c r="G87" s="2">
        <v>46.630400000000002</v>
      </c>
      <c r="H87" s="2">
        <f t="shared" si="1"/>
        <v>0.10130000000000194</v>
      </c>
      <c r="I87" s="56">
        <f>+'PROTEÍNA AOAC 2001.11'!I234/100</f>
        <v>0.39658119447185819</v>
      </c>
      <c r="J87" s="54"/>
      <c r="K87" s="204"/>
      <c r="L87" s="202"/>
      <c r="M87" s="2" t="s">
        <v>10</v>
      </c>
      <c r="N87" s="2" t="s">
        <v>10</v>
      </c>
      <c r="O87" s="2" t="s">
        <v>10</v>
      </c>
      <c r="P87" s="2" t="s">
        <v>14</v>
      </c>
      <c r="Q87" s="2" t="s">
        <v>15</v>
      </c>
    </row>
    <row r="88" spans="1:17" ht="16.5" x14ac:dyDescent="0.3">
      <c r="A88" s="31">
        <v>43299</v>
      </c>
      <c r="B88" s="2" t="s">
        <v>784</v>
      </c>
      <c r="C88" s="3" t="s">
        <v>783</v>
      </c>
      <c r="D88" s="2">
        <v>1.0008999999999999</v>
      </c>
      <c r="E88" s="3">
        <v>46.143900000000002</v>
      </c>
      <c r="F88" s="2">
        <v>4</v>
      </c>
      <c r="G88" s="2">
        <v>46.525199999999998</v>
      </c>
      <c r="H88" s="2">
        <f t="shared" si="1"/>
        <v>0.38129999999999598</v>
      </c>
      <c r="I88" s="20"/>
      <c r="J88" s="38" t="e">
        <f>+#REF!/100</f>
        <v>#REF!</v>
      </c>
      <c r="K88" s="204" t="e">
        <f>(((H88+H89)/2)-I89-J88-$K$62)/((D88+D89)/2)*100</f>
        <v>#REF!</v>
      </c>
      <c r="L88" s="202">
        <v>0</v>
      </c>
      <c r="M88" s="204">
        <v>0</v>
      </c>
      <c r="N88" s="2" t="s">
        <v>10</v>
      </c>
      <c r="O88" s="2" t="s">
        <v>10</v>
      </c>
      <c r="P88" s="2" t="s">
        <v>14</v>
      </c>
      <c r="Q88" s="2" t="s">
        <v>15</v>
      </c>
    </row>
    <row r="89" spans="1:17" ht="16.5" x14ac:dyDescent="0.3">
      <c r="A89" s="31">
        <v>43299</v>
      </c>
      <c r="B89" s="2" t="s">
        <v>806</v>
      </c>
      <c r="C89" s="3" t="s">
        <v>807</v>
      </c>
      <c r="D89" s="4">
        <v>1</v>
      </c>
      <c r="E89" s="3">
        <v>46.708199999999998</v>
      </c>
      <c r="F89" s="2">
        <v>6</v>
      </c>
      <c r="G89" s="2">
        <v>47.081000000000003</v>
      </c>
      <c r="H89" s="2">
        <f t="shared" si="1"/>
        <v>0.37280000000000513</v>
      </c>
      <c r="I89" s="38">
        <f>+'PROTEÍNA AOAC 2001.11'!I249/100</f>
        <v>0.5264084629828254</v>
      </c>
      <c r="J89" s="20"/>
      <c r="K89" s="204"/>
      <c r="L89" s="202"/>
      <c r="M89" s="202"/>
      <c r="N89" s="2" t="s">
        <v>10</v>
      </c>
      <c r="O89" s="2" t="s">
        <v>10</v>
      </c>
      <c r="P89" s="2" t="s">
        <v>14</v>
      </c>
      <c r="Q89" s="2" t="s">
        <v>15</v>
      </c>
    </row>
    <row r="90" spans="1:17" ht="16.5" x14ac:dyDescent="0.3">
      <c r="A90" s="31">
        <v>43304</v>
      </c>
      <c r="B90" s="2" t="s">
        <v>810</v>
      </c>
      <c r="C90" s="3" t="s">
        <v>808</v>
      </c>
      <c r="D90" s="2">
        <v>1.0007999999999999</v>
      </c>
      <c r="E90" s="3">
        <v>45.281100000000002</v>
      </c>
      <c r="F90" s="2">
        <v>3</v>
      </c>
      <c r="G90" s="2">
        <v>45.2883</v>
      </c>
      <c r="H90" s="2">
        <f t="shared" si="1"/>
        <v>7.1999999999974307E-3</v>
      </c>
      <c r="I90" s="20"/>
      <c r="J90" s="38">
        <v>0</v>
      </c>
      <c r="K90" s="202">
        <f>(((H90+H91)/2)-I91-J90-$K$38)/((D90+D91)/2)*100</f>
        <v>0.73948236234605424</v>
      </c>
      <c r="L90" s="202" t="s">
        <v>10</v>
      </c>
      <c r="M90" s="204" t="e">
        <f>+N90+O90</f>
        <v>#REF!</v>
      </c>
      <c r="N90" s="204">
        <f>+K90</f>
        <v>0.73948236234605424</v>
      </c>
      <c r="O90" s="204" t="e">
        <f>+K92</f>
        <v>#REF!</v>
      </c>
      <c r="P90" s="2" t="s">
        <v>14</v>
      </c>
      <c r="Q90" s="2" t="s">
        <v>15</v>
      </c>
    </row>
    <row r="91" spans="1:17" ht="16.5" x14ac:dyDescent="0.3">
      <c r="A91" s="31">
        <v>43304</v>
      </c>
      <c r="B91" s="2" t="s">
        <v>810</v>
      </c>
      <c r="C91" s="3" t="s">
        <v>808</v>
      </c>
      <c r="D91" s="2">
        <v>1.0005999999999999</v>
      </c>
      <c r="E91" s="3">
        <v>44.343200000000003</v>
      </c>
      <c r="F91" s="2">
        <v>7</v>
      </c>
      <c r="G91" s="2">
        <v>44.3508</v>
      </c>
      <c r="H91" s="2">
        <f t="shared" si="1"/>
        <v>7.5999999999964984E-3</v>
      </c>
      <c r="I91" s="38">
        <f>+'PROTEÍNA AOAC 2001.11'!I250/100</f>
        <v>0</v>
      </c>
      <c r="J91" s="20"/>
      <c r="K91" s="202"/>
      <c r="L91" s="202"/>
      <c r="M91" s="204"/>
      <c r="N91" s="204"/>
      <c r="O91" s="204"/>
      <c r="P91" s="2" t="s">
        <v>14</v>
      </c>
      <c r="Q91" s="2" t="s">
        <v>15</v>
      </c>
    </row>
    <row r="92" spans="1:17" ht="16.5" x14ac:dyDescent="0.3">
      <c r="A92" s="31">
        <v>43304</v>
      </c>
      <c r="B92" s="2" t="s">
        <v>811</v>
      </c>
      <c r="C92" s="3" t="s">
        <v>808</v>
      </c>
      <c r="D92" s="2">
        <v>1.0007999999999999</v>
      </c>
      <c r="E92" s="3">
        <v>45.0184</v>
      </c>
      <c r="F92" s="2">
        <v>1</v>
      </c>
      <c r="G92" s="2">
        <v>45.058100000000003</v>
      </c>
      <c r="H92" s="2">
        <f t="shared" si="1"/>
        <v>3.9700000000003399E-2</v>
      </c>
      <c r="I92" s="20"/>
      <c r="J92" s="38" t="e">
        <f>+#REF!/100</f>
        <v>#REF!</v>
      </c>
      <c r="K92" s="202" t="e">
        <f>(((H92+H93)/2)-I93-J92-$K$38)/((D92+D93)/2)*100</f>
        <v>#REF!</v>
      </c>
      <c r="L92" s="202" t="s">
        <v>10</v>
      </c>
      <c r="M92" s="204"/>
      <c r="N92" s="204"/>
      <c r="O92" s="204"/>
      <c r="P92" s="2" t="s">
        <v>14</v>
      </c>
      <c r="Q92" s="2" t="s">
        <v>15</v>
      </c>
    </row>
    <row r="93" spans="1:17" ht="16.5" x14ac:dyDescent="0.3">
      <c r="A93" s="31">
        <v>43304</v>
      </c>
      <c r="B93" s="2" t="s">
        <v>811</v>
      </c>
      <c r="C93" s="3" t="s">
        <v>808</v>
      </c>
      <c r="D93" s="2">
        <v>1.0005999999999999</v>
      </c>
      <c r="E93" s="3">
        <v>46.479399999999998</v>
      </c>
      <c r="F93" s="2">
        <v>5</v>
      </c>
      <c r="G93" s="2">
        <v>46.509399999999999</v>
      </c>
      <c r="H93" s="2">
        <f t="shared" si="1"/>
        <v>3.0000000000001137E-2</v>
      </c>
      <c r="I93" s="38">
        <f>+'PROTEÍNA AOAC 2001.11'!I251</f>
        <v>0</v>
      </c>
      <c r="J93" s="20"/>
      <c r="K93" s="202"/>
      <c r="L93" s="202"/>
      <c r="M93" s="204"/>
      <c r="N93" s="204"/>
      <c r="O93" s="204"/>
      <c r="P93" s="2" t="s">
        <v>14</v>
      </c>
      <c r="Q93" s="2" t="s">
        <v>15</v>
      </c>
    </row>
    <row r="94" spans="1:17" ht="16.5" x14ac:dyDescent="0.3">
      <c r="A94" s="31">
        <v>43314</v>
      </c>
      <c r="B94" s="8" t="s">
        <v>930</v>
      </c>
      <c r="C94" s="3" t="s">
        <v>932</v>
      </c>
      <c r="D94" s="2">
        <v>1.0008999999999999</v>
      </c>
      <c r="E94" s="3">
        <v>46.075400000000002</v>
      </c>
      <c r="F94" s="2">
        <v>4</v>
      </c>
      <c r="G94" s="2">
        <v>46.670999999999999</v>
      </c>
      <c r="H94" s="2">
        <f t="shared" si="1"/>
        <v>0.59559999999999746</v>
      </c>
      <c r="I94" s="20"/>
      <c r="J94" s="2" t="e">
        <f>+#REF!/100</f>
        <v>#REF!</v>
      </c>
      <c r="K94" s="202" t="e">
        <f>(((H94+H95)/2)-I95-J94-$K$62)/((D94+D95)/2)*100</f>
        <v>#REF!</v>
      </c>
      <c r="L94" s="202">
        <v>0</v>
      </c>
      <c r="M94" s="202">
        <v>0</v>
      </c>
      <c r="N94" s="2" t="s">
        <v>10</v>
      </c>
      <c r="O94" s="2" t="s">
        <v>10</v>
      </c>
      <c r="P94" s="2" t="s">
        <v>14</v>
      </c>
      <c r="Q94" s="2" t="s">
        <v>15</v>
      </c>
    </row>
    <row r="95" spans="1:17" ht="16.5" x14ac:dyDescent="0.3">
      <c r="A95" s="31">
        <v>43314</v>
      </c>
      <c r="B95" s="8" t="s">
        <v>930</v>
      </c>
      <c r="C95" s="3" t="s">
        <v>932</v>
      </c>
      <c r="D95" s="2">
        <v>1.0002</v>
      </c>
      <c r="E95" s="3">
        <v>46.453600000000002</v>
      </c>
      <c r="F95" s="2">
        <v>5</v>
      </c>
      <c r="G95" s="2">
        <v>47.027500000000003</v>
      </c>
      <c r="H95" s="2">
        <f t="shared" si="1"/>
        <v>0.57390000000000185</v>
      </c>
      <c r="I95" s="2">
        <f>+'PROTEÍNA AOAC 2001.11'!I274/100</f>
        <v>0.89045524046000746</v>
      </c>
      <c r="J95" s="20"/>
      <c r="K95" s="202"/>
      <c r="L95" s="202"/>
      <c r="M95" s="202"/>
      <c r="N95" s="2" t="s">
        <v>10</v>
      </c>
      <c r="O95" s="2" t="s">
        <v>10</v>
      </c>
      <c r="P95" s="2" t="s">
        <v>14</v>
      </c>
      <c r="Q95" s="2" t="s">
        <v>15</v>
      </c>
    </row>
    <row r="96" spans="1:17" ht="16.5" x14ac:dyDescent="0.3">
      <c r="A96" s="31">
        <v>43315</v>
      </c>
      <c r="B96" s="2" t="s">
        <v>935</v>
      </c>
      <c r="C96" s="3" t="s">
        <v>937</v>
      </c>
      <c r="D96" s="2">
        <v>1.0008999999999999</v>
      </c>
      <c r="E96" s="3">
        <v>46.012500000000003</v>
      </c>
      <c r="F96" s="2">
        <v>6</v>
      </c>
      <c r="G96" s="2">
        <v>46.4086</v>
      </c>
      <c r="H96" s="2">
        <f t="shared" si="1"/>
        <v>0.39609999999999701</v>
      </c>
      <c r="I96" s="20"/>
      <c r="J96" s="2" t="e">
        <f>+#REF!/100</f>
        <v>#REF!</v>
      </c>
      <c r="K96" s="202" t="e">
        <f>(((H96+H97)/2)-I97-J96-$K$38)/((D96+D97)/2)*100</f>
        <v>#REF!</v>
      </c>
      <c r="L96" s="202" t="s">
        <v>10</v>
      </c>
      <c r="M96" s="204" t="e">
        <f>+N96+O96</f>
        <v>#REF!</v>
      </c>
      <c r="N96" s="204" t="e">
        <f>+K96</f>
        <v>#REF!</v>
      </c>
      <c r="O96" s="204" t="e">
        <f>+K98</f>
        <v>#REF!</v>
      </c>
      <c r="P96" s="2" t="s">
        <v>14</v>
      </c>
      <c r="Q96" s="2" t="s">
        <v>15</v>
      </c>
    </row>
    <row r="97" spans="1:17" ht="16.5" x14ac:dyDescent="0.3">
      <c r="A97" s="31">
        <v>43315</v>
      </c>
      <c r="B97" s="2" t="s">
        <v>935</v>
      </c>
      <c r="C97" s="3" t="s">
        <v>937</v>
      </c>
      <c r="D97" s="2">
        <v>1.0008999999999999</v>
      </c>
      <c r="E97" s="3">
        <v>45.446599999999997</v>
      </c>
      <c r="F97" s="2">
        <v>3</v>
      </c>
      <c r="G97" s="2">
        <v>45.8399</v>
      </c>
      <c r="H97" s="2">
        <f t="shared" si="1"/>
        <v>0.39330000000000354</v>
      </c>
      <c r="I97" s="38">
        <f>+'PROTEÍNA AOAC 2001.11'!I275/100</f>
        <v>0.10123676582761161</v>
      </c>
      <c r="J97" s="20"/>
      <c r="K97" s="202"/>
      <c r="L97" s="202"/>
      <c r="M97" s="204"/>
      <c r="N97" s="204"/>
      <c r="O97" s="204"/>
      <c r="P97" s="2" t="s">
        <v>14</v>
      </c>
      <c r="Q97" s="2" t="s">
        <v>15</v>
      </c>
    </row>
    <row r="98" spans="1:17" ht="16.5" x14ac:dyDescent="0.3">
      <c r="A98" s="31">
        <v>43315</v>
      </c>
      <c r="B98" s="2" t="s">
        <v>936</v>
      </c>
      <c r="C98" s="3" t="s">
        <v>937</v>
      </c>
      <c r="D98" s="2">
        <v>1.0008999999999999</v>
      </c>
      <c r="E98" s="3">
        <v>44.331200000000003</v>
      </c>
      <c r="F98" s="2">
        <v>7</v>
      </c>
      <c r="G98" s="2">
        <v>44.460799999999999</v>
      </c>
      <c r="H98" s="2">
        <f t="shared" si="1"/>
        <v>0.12959999999999638</v>
      </c>
      <c r="I98" s="20"/>
      <c r="J98" s="2" t="e">
        <f>+#REF!/100</f>
        <v>#REF!</v>
      </c>
      <c r="K98" s="202" t="e">
        <f>(((H98+H99)/2)-I99-J98-$K$38)/((D98+D99)/2)*100</f>
        <v>#REF!</v>
      </c>
      <c r="L98" s="202" t="s">
        <v>10</v>
      </c>
      <c r="M98" s="204"/>
      <c r="N98" s="204"/>
      <c r="O98" s="204"/>
      <c r="P98" s="2" t="s">
        <v>14</v>
      </c>
      <c r="Q98" s="2" t="s">
        <v>15</v>
      </c>
    </row>
    <row r="99" spans="1:17" ht="16.5" x14ac:dyDescent="0.3">
      <c r="A99" s="31">
        <v>43315</v>
      </c>
      <c r="B99" s="2" t="s">
        <v>936</v>
      </c>
      <c r="C99" s="3" t="s">
        <v>937</v>
      </c>
      <c r="D99" s="2">
        <v>1.0008999999999999</v>
      </c>
      <c r="E99" s="3">
        <v>45.519599999999997</v>
      </c>
      <c r="F99" s="2">
        <v>1</v>
      </c>
      <c r="G99" s="2">
        <v>45.643900000000002</v>
      </c>
      <c r="H99" s="2">
        <f t="shared" si="1"/>
        <v>0.12430000000000518</v>
      </c>
      <c r="I99" s="2">
        <f>+'PROTEÍNA AOAC 2001.11'!I276/100</f>
        <v>8.825285599356027E-3</v>
      </c>
      <c r="J99" s="20"/>
      <c r="K99" s="202"/>
      <c r="L99" s="202"/>
      <c r="M99" s="204"/>
      <c r="N99" s="204"/>
      <c r="O99" s="204"/>
      <c r="P99" s="2" t="s">
        <v>14</v>
      </c>
      <c r="Q99" s="2" t="s">
        <v>15</v>
      </c>
    </row>
    <row r="100" spans="1:17" ht="16.5" x14ac:dyDescent="0.3">
      <c r="A100" s="31">
        <v>43327</v>
      </c>
      <c r="B100" s="2" t="s">
        <v>961</v>
      </c>
      <c r="C100" s="3" t="s">
        <v>960</v>
      </c>
      <c r="D100" s="4">
        <v>1</v>
      </c>
      <c r="E100" s="3">
        <v>45.730499999999999</v>
      </c>
      <c r="F100" s="2">
        <v>4</v>
      </c>
      <c r="G100" s="2">
        <v>45.789700000000003</v>
      </c>
      <c r="H100" s="2">
        <f t="shared" si="1"/>
        <v>5.9200000000004138E-2</v>
      </c>
      <c r="I100" s="20"/>
      <c r="J100" s="2">
        <v>0</v>
      </c>
      <c r="K100" s="202">
        <f>(((H100+H101)/2)-I101-J100-$K$62)/((D100+D101)/2)*100</f>
        <v>3.8642677893089554</v>
      </c>
      <c r="L100" s="202" t="s">
        <v>10</v>
      </c>
      <c r="M100" s="204">
        <f>+K100</f>
        <v>3.8642677893089554</v>
      </c>
      <c r="N100" s="2" t="s">
        <v>10</v>
      </c>
      <c r="O100" s="2" t="s">
        <v>10</v>
      </c>
      <c r="P100" s="2" t="s">
        <v>14</v>
      </c>
      <c r="Q100" s="2" t="s">
        <v>15</v>
      </c>
    </row>
    <row r="101" spans="1:17" ht="16.5" x14ac:dyDescent="0.3">
      <c r="A101" s="31">
        <v>43327</v>
      </c>
      <c r="B101" s="2" t="s">
        <v>961</v>
      </c>
      <c r="C101" s="3" t="s">
        <v>960</v>
      </c>
      <c r="D101" s="2">
        <v>1.0005999999999999</v>
      </c>
      <c r="E101" s="3">
        <v>45.950499999999998</v>
      </c>
      <c r="F101" s="2">
        <v>6</v>
      </c>
      <c r="G101" s="2">
        <v>46.026600000000002</v>
      </c>
      <c r="H101" s="2">
        <f t="shared" si="1"/>
        <v>7.6100000000003831E-2</v>
      </c>
      <c r="I101" s="38">
        <f>+'PROTEÍNA AOAC 2001.11'!I291/100</f>
        <v>2.8995729303546502E-2</v>
      </c>
      <c r="J101" s="20"/>
      <c r="K101" s="202"/>
      <c r="L101" s="202"/>
      <c r="M101" s="204"/>
      <c r="N101" s="2" t="s">
        <v>10</v>
      </c>
      <c r="O101" s="2" t="s">
        <v>10</v>
      </c>
      <c r="P101" s="2" t="s">
        <v>14</v>
      </c>
      <c r="Q101" s="2" t="s">
        <v>15</v>
      </c>
    </row>
    <row r="102" spans="1:17" ht="16.5" x14ac:dyDescent="0.3">
      <c r="A102" s="31">
        <v>43333</v>
      </c>
      <c r="B102" s="2" t="s">
        <v>979</v>
      </c>
      <c r="C102" s="3" t="s">
        <v>985</v>
      </c>
      <c r="D102" s="2">
        <v>1.0004</v>
      </c>
      <c r="E102" s="3">
        <v>46.993600000000001</v>
      </c>
      <c r="F102" s="2">
        <v>2</v>
      </c>
      <c r="G102" s="2">
        <v>47.1509</v>
      </c>
      <c r="H102" s="2">
        <f t="shared" si="1"/>
        <v>0.15729999999999933</v>
      </c>
      <c r="I102" s="51"/>
      <c r="J102" s="2" t="e">
        <f>+#REF!/100</f>
        <v>#REF!</v>
      </c>
      <c r="K102" s="202" t="e">
        <f>(((H102+H103)/2)-I103-J102-$K$62)/((D102+D103)/2)*100</f>
        <v>#REF!</v>
      </c>
      <c r="L102" s="202" t="e">
        <f>+K102*(100-23.6-10.31)/100</f>
        <v>#REF!</v>
      </c>
      <c r="M102" s="204" t="e">
        <f>+L102</f>
        <v>#REF!</v>
      </c>
      <c r="N102" s="2" t="s">
        <v>10</v>
      </c>
      <c r="O102" s="2" t="s">
        <v>10</v>
      </c>
      <c r="P102" s="2" t="s">
        <v>14</v>
      </c>
      <c r="Q102" s="2" t="s">
        <v>15</v>
      </c>
    </row>
    <row r="103" spans="1:17" ht="16.5" x14ac:dyDescent="0.3">
      <c r="A103" s="31">
        <v>43333</v>
      </c>
      <c r="B103" s="2" t="s">
        <v>979</v>
      </c>
      <c r="C103" s="3" t="s">
        <v>985</v>
      </c>
      <c r="D103" s="2">
        <v>1.0008999999999999</v>
      </c>
      <c r="E103" s="3">
        <v>45.666699999999999</v>
      </c>
      <c r="F103" s="2">
        <v>7</v>
      </c>
      <c r="G103" s="2">
        <v>45.833199999999998</v>
      </c>
      <c r="H103" s="2">
        <f t="shared" si="1"/>
        <v>0.1664999999999992</v>
      </c>
      <c r="I103" s="38">
        <f>+'PROTEÍNA AOAC 2001.11'!I307/100</f>
        <v>1.367342342342349E-2</v>
      </c>
      <c r="J103" s="20"/>
      <c r="K103" s="202"/>
      <c r="L103" s="202"/>
      <c r="M103" s="204"/>
      <c r="N103" s="2" t="s">
        <v>10</v>
      </c>
      <c r="O103" s="2" t="s">
        <v>10</v>
      </c>
      <c r="P103" s="2" t="s">
        <v>14</v>
      </c>
      <c r="Q103" s="2" t="s">
        <v>15</v>
      </c>
    </row>
    <row r="104" spans="1:17" ht="16.5" x14ac:dyDescent="0.3">
      <c r="A104" s="31">
        <v>43333</v>
      </c>
      <c r="B104" s="2" t="s">
        <v>980</v>
      </c>
      <c r="C104" s="3" t="s">
        <v>993</v>
      </c>
      <c r="D104" s="2">
        <v>1.0008999999999999</v>
      </c>
      <c r="E104" s="3">
        <v>46.136899999999997</v>
      </c>
      <c r="F104" s="2">
        <v>3</v>
      </c>
      <c r="G104" s="2">
        <v>46.296700000000001</v>
      </c>
      <c r="H104" s="2">
        <f t="shared" si="1"/>
        <v>0.15980000000000416</v>
      </c>
      <c r="I104" s="51"/>
      <c r="J104" s="2" t="e">
        <f>+#REF!/100</f>
        <v>#REF!</v>
      </c>
      <c r="K104" s="202" t="e">
        <f>(((H104+H105)/2)-I105-J104-$K$62)/((D104+D105)/2)*100</f>
        <v>#REF!</v>
      </c>
      <c r="L104" s="202" t="e">
        <f>+K104*(100-6.6-40.06)/100</f>
        <v>#REF!</v>
      </c>
      <c r="M104" s="204" t="e">
        <f>+L104</f>
        <v>#REF!</v>
      </c>
      <c r="N104" s="2" t="s">
        <v>10</v>
      </c>
      <c r="O104" s="2" t="s">
        <v>10</v>
      </c>
      <c r="P104" s="2" t="s">
        <v>14</v>
      </c>
      <c r="Q104" s="2" t="s">
        <v>15</v>
      </c>
    </row>
    <row r="105" spans="1:17" ht="16.5" x14ac:dyDescent="0.3">
      <c r="A105" s="31">
        <v>43333</v>
      </c>
      <c r="B105" s="2" t="s">
        <v>980</v>
      </c>
      <c r="C105" s="3" t="s">
        <v>993</v>
      </c>
      <c r="D105" s="2">
        <v>1.0008999999999999</v>
      </c>
      <c r="E105" s="3">
        <v>46.393300000000004</v>
      </c>
      <c r="F105" s="2">
        <v>5</v>
      </c>
      <c r="G105" s="2">
        <v>46.596400000000003</v>
      </c>
      <c r="H105" s="2">
        <f t="shared" si="1"/>
        <v>0.20309999999999917</v>
      </c>
      <c r="I105" s="38">
        <f>+'PROTEÍNA AOAC 2001.11'!I308/100</f>
        <v>1.6038035450517053E-2</v>
      </c>
      <c r="J105" s="20"/>
      <c r="K105" s="202"/>
      <c r="L105" s="202"/>
      <c r="M105" s="204"/>
      <c r="N105" s="2" t="s">
        <v>10</v>
      </c>
      <c r="O105" s="2" t="s">
        <v>10</v>
      </c>
      <c r="P105" s="2" t="s">
        <v>14</v>
      </c>
      <c r="Q105" s="2" t="s">
        <v>15</v>
      </c>
    </row>
    <row r="106" spans="1:17" ht="16.5" x14ac:dyDescent="0.3">
      <c r="A106" s="31">
        <v>43339</v>
      </c>
      <c r="B106" s="2" t="s">
        <v>1058</v>
      </c>
      <c r="C106" s="3" t="s">
        <v>1050</v>
      </c>
      <c r="D106" s="2">
        <v>1.0003</v>
      </c>
      <c r="E106" s="3">
        <v>45.467799999999997</v>
      </c>
      <c r="F106" s="2">
        <v>7</v>
      </c>
      <c r="G106" s="2">
        <v>45.527000000000001</v>
      </c>
      <c r="H106" s="2">
        <f t="shared" si="1"/>
        <v>5.9200000000004138E-2</v>
      </c>
      <c r="I106" s="20"/>
      <c r="J106" s="38" t="e">
        <f>+#REF!</f>
        <v>#REF!</v>
      </c>
      <c r="K106" s="202" t="e">
        <f>(((H106+H107)/2)-I107-J106-$K$38)/((D106+D107)/2)*100</f>
        <v>#REF!</v>
      </c>
      <c r="L106" s="202" t="s">
        <v>10</v>
      </c>
      <c r="M106" s="204" t="e">
        <f>+N106+O106</f>
        <v>#REF!</v>
      </c>
      <c r="N106" s="204" t="e">
        <f>+K106</f>
        <v>#REF!</v>
      </c>
      <c r="O106" s="204" t="e">
        <f>+K108</f>
        <v>#REF!</v>
      </c>
      <c r="P106" s="2" t="s">
        <v>14</v>
      </c>
      <c r="Q106" s="2" t="s">
        <v>15</v>
      </c>
    </row>
    <row r="107" spans="1:17" ht="16.5" x14ac:dyDescent="0.3">
      <c r="A107" s="31">
        <v>43339</v>
      </c>
      <c r="B107" s="2" t="s">
        <v>1058</v>
      </c>
      <c r="C107" s="3" t="s">
        <v>1050</v>
      </c>
      <c r="D107" s="2">
        <v>1.0004</v>
      </c>
      <c r="E107" s="3">
        <v>46.071800000000003</v>
      </c>
      <c r="F107" s="2">
        <v>2</v>
      </c>
      <c r="G107" s="2">
        <v>46.1312</v>
      </c>
      <c r="H107" s="2">
        <f t="shared" si="1"/>
        <v>5.9399999999996567E-2</v>
      </c>
      <c r="I107" s="38">
        <f>+'PROTEÍNA AOAC 2001.11'!I320/100</f>
        <v>3.6558080808082927E-2</v>
      </c>
      <c r="J107" s="20"/>
      <c r="K107" s="202"/>
      <c r="L107" s="202"/>
      <c r="M107" s="204"/>
      <c r="N107" s="204"/>
      <c r="O107" s="204"/>
      <c r="P107" s="2" t="s">
        <v>14</v>
      </c>
      <c r="Q107" s="2" t="s">
        <v>15</v>
      </c>
    </row>
    <row r="108" spans="1:17" ht="16.5" x14ac:dyDescent="0.3">
      <c r="A108" s="31">
        <v>43339</v>
      </c>
      <c r="B108" s="2" t="s">
        <v>1059</v>
      </c>
      <c r="C108" s="3" t="s">
        <v>1050</v>
      </c>
      <c r="D108" s="2">
        <v>1.0003</v>
      </c>
      <c r="E108" s="3">
        <v>46.351500000000001</v>
      </c>
      <c r="F108" s="2">
        <v>4</v>
      </c>
      <c r="G108" s="2">
        <v>46.851199999999999</v>
      </c>
      <c r="H108" s="2">
        <f t="shared" si="1"/>
        <v>0.49969999999999715</v>
      </c>
      <c r="I108" s="51"/>
      <c r="J108" s="26" t="e">
        <f>+#REF!/100</f>
        <v>#REF!</v>
      </c>
      <c r="K108" s="202" t="e">
        <f>(((H108+H109)/2)-I109-J108-$K$40)/((D108+D109)/2)*100</f>
        <v>#REF!</v>
      </c>
      <c r="L108" s="202" t="s">
        <v>10</v>
      </c>
      <c r="M108" s="204"/>
      <c r="N108" s="204"/>
      <c r="O108" s="204"/>
      <c r="P108" s="2" t="s">
        <v>14</v>
      </c>
      <c r="Q108" s="2" t="s">
        <v>15</v>
      </c>
    </row>
    <row r="109" spans="1:17" ht="16.5" x14ac:dyDescent="0.3">
      <c r="A109" s="31">
        <v>43339</v>
      </c>
      <c r="B109" s="2" t="s">
        <v>1059</v>
      </c>
      <c r="C109" s="3" t="s">
        <v>1050</v>
      </c>
      <c r="D109" s="2">
        <v>1.0004</v>
      </c>
      <c r="E109" s="3">
        <v>46.152799999999999</v>
      </c>
      <c r="F109" s="2">
        <v>8</v>
      </c>
      <c r="G109" s="2">
        <v>46.661700000000003</v>
      </c>
      <c r="H109" s="2">
        <f t="shared" si="1"/>
        <v>0.50890000000000413</v>
      </c>
      <c r="I109" s="38">
        <f>+'PROTEÍNA AOAC 2001.11'!I321/100</f>
        <v>0.19412067695028337</v>
      </c>
      <c r="J109" s="20"/>
      <c r="K109" s="202"/>
      <c r="L109" s="202"/>
      <c r="M109" s="204"/>
      <c r="N109" s="204"/>
      <c r="O109" s="204"/>
      <c r="P109" s="2" t="s">
        <v>14</v>
      </c>
      <c r="Q109" s="2" t="s">
        <v>15</v>
      </c>
    </row>
    <row r="110" spans="1:17" ht="16.5" x14ac:dyDescent="0.3">
      <c r="A110" s="31">
        <v>43339</v>
      </c>
      <c r="B110" s="2" t="s">
        <v>1053</v>
      </c>
      <c r="C110" s="3" t="s">
        <v>1051</v>
      </c>
      <c r="D110" s="2">
        <v>1.0004999999999999</v>
      </c>
      <c r="E110" s="3">
        <v>46.0124</v>
      </c>
      <c r="F110" s="2">
        <v>3</v>
      </c>
      <c r="G110" s="2">
        <v>46.197299999999998</v>
      </c>
      <c r="H110" s="2">
        <f t="shared" si="1"/>
        <v>0.18489999999999895</v>
      </c>
      <c r="I110" s="20"/>
      <c r="J110" s="2">
        <v>0</v>
      </c>
      <c r="K110" s="202">
        <f>(((H110+H111)/2)-I111-J110-$K$62)/((D110+D111)/2)*100</f>
        <v>16.963256113217522</v>
      </c>
      <c r="L110" s="202" t="s">
        <v>10</v>
      </c>
      <c r="M110" s="204">
        <f>+K110</f>
        <v>16.963256113217522</v>
      </c>
      <c r="N110" s="2"/>
      <c r="O110" s="2"/>
      <c r="P110" s="2" t="s">
        <v>14</v>
      </c>
      <c r="Q110" s="2" t="s">
        <v>15</v>
      </c>
    </row>
    <row r="111" spans="1:17" ht="16.5" x14ac:dyDescent="0.3">
      <c r="A111" s="31">
        <v>43339</v>
      </c>
      <c r="B111" s="2" t="s">
        <v>1053</v>
      </c>
      <c r="C111" s="3" t="s">
        <v>1051</v>
      </c>
      <c r="D111" s="2">
        <v>1.0003</v>
      </c>
      <c r="E111" s="3">
        <v>46.011499999999998</v>
      </c>
      <c r="F111" s="2">
        <v>6</v>
      </c>
      <c r="G111" s="2">
        <v>46.177500000000002</v>
      </c>
      <c r="H111" s="2">
        <f t="shared" si="1"/>
        <v>0.16600000000000392</v>
      </c>
      <c r="I111" s="38">
        <f>+'PROTEÍNA AOAC 2001.11'!I322/100</f>
        <v>5.7495858433733579E-3</v>
      </c>
      <c r="J111" s="20"/>
      <c r="K111" s="202"/>
      <c r="L111" s="202"/>
      <c r="M111" s="204"/>
      <c r="N111" s="2"/>
      <c r="O111" s="2"/>
      <c r="P111" s="2" t="s">
        <v>14</v>
      </c>
      <c r="Q111" s="2" t="s">
        <v>15</v>
      </c>
    </row>
    <row r="112" spans="1:17" ht="16.5" x14ac:dyDescent="0.3">
      <c r="A112" s="31">
        <v>43340</v>
      </c>
      <c r="B112" s="2" t="s">
        <v>1054</v>
      </c>
      <c r="C112" s="3" t="s">
        <v>1055</v>
      </c>
      <c r="D112" s="2">
        <v>1.0007999999999999</v>
      </c>
      <c r="E112" s="3">
        <v>45.791400000000003</v>
      </c>
      <c r="F112" s="2">
        <v>1</v>
      </c>
      <c r="G112" s="2">
        <v>45.865699999999997</v>
      </c>
      <c r="H112" s="2">
        <f t="shared" si="1"/>
        <v>7.4299999999993815E-2</v>
      </c>
      <c r="I112" s="20"/>
      <c r="J112" s="142" t="e">
        <f>+#REF!/100</f>
        <v>#REF!</v>
      </c>
      <c r="K112" s="202" t="e">
        <f>(((H112+H113)/2)-I113-J112-$K$62)/((D112+D113)/2)*100</f>
        <v>#REF!</v>
      </c>
      <c r="L112" s="202" t="e">
        <f>+K112*(100-0.7)/100</f>
        <v>#REF!</v>
      </c>
      <c r="M112" s="204" t="e">
        <f>+L112</f>
        <v>#REF!</v>
      </c>
      <c r="N112" s="2"/>
      <c r="O112" s="2"/>
      <c r="P112" s="2" t="s">
        <v>14</v>
      </c>
      <c r="Q112" s="2" t="s">
        <v>15</v>
      </c>
    </row>
    <row r="113" spans="1:17" ht="16.5" x14ac:dyDescent="0.3">
      <c r="A113" s="31">
        <v>43340</v>
      </c>
      <c r="B113" s="2" t="s">
        <v>1054</v>
      </c>
      <c r="C113" s="3" t="s">
        <v>1055</v>
      </c>
      <c r="D113" s="2">
        <v>1.0008999999999999</v>
      </c>
      <c r="E113" s="3">
        <v>46.580399999999997</v>
      </c>
      <c r="F113" s="2">
        <v>4</v>
      </c>
      <c r="G113" s="2">
        <v>46.653300000000002</v>
      </c>
      <c r="H113" s="2">
        <f t="shared" si="1"/>
        <v>7.2900000000004184E-2</v>
      </c>
      <c r="I113" s="142">
        <f>+'PROTEÍNA AOAC 2001.11'!I327/100</f>
        <v>2.834670781892841E-2</v>
      </c>
      <c r="J113" s="20"/>
      <c r="K113" s="202"/>
      <c r="L113" s="202"/>
      <c r="M113" s="204"/>
      <c r="N113" s="2"/>
      <c r="O113" s="2"/>
      <c r="P113" s="2" t="s">
        <v>14</v>
      </c>
      <c r="Q113" s="2" t="s">
        <v>15</v>
      </c>
    </row>
    <row r="114" spans="1:17" ht="16.5" x14ac:dyDescent="0.3">
      <c r="A114" s="31">
        <v>43342</v>
      </c>
      <c r="B114" s="2" t="s">
        <v>1077</v>
      </c>
      <c r="C114" s="3" t="s">
        <v>1076</v>
      </c>
      <c r="D114" s="2">
        <v>1.0004</v>
      </c>
      <c r="E114" s="3">
        <v>46.252699999999997</v>
      </c>
      <c r="F114" s="2">
        <v>8</v>
      </c>
      <c r="G114" s="2">
        <v>46.295000000000002</v>
      </c>
      <c r="H114" s="2">
        <f t="shared" si="1"/>
        <v>4.2300000000004445E-2</v>
      </c>
      <c r="I114" s="20"/>
      <c r="J114" s="142">
        <v>0</v>
      </c>
      <c r="K114" s="204">
        <f>(((H114+H115)/2)-I115-J114-$K$62)/((D114+D115)/2)*100</f>
        <v>4.1819665565537161</v>
      </c>
      <c r="L114" s="202" t="s">
        <v>10</v>
      </c>
      <c r="M114" s="2" t="s">
        <v>10</v>
      </c>
      <c r="N114" s="2" t="s">
        <v>10</v>
      </c>
      <c r="O114" s="2" t="s">
        <v>10</v>
      </c>
      <c r="P114" s="2" t="s">
        <v>14</v>
      </c>
      <c r="Q114" s="2" t="s">
        <v>15</v>
      </c>
    </row>
    <row r="115" spans="1:17" ht="16.5" x14ac:dyDescent="0.3">
      <c r="A115" s="31">
        <v>43342</v>
      </c>
      <c r="B115" s="2" t="s">
        <v>1077</v>
      </c>
      <c r="C115" s="3" t="s">
        <v>1076</v>
      </c>
      <c r="D115" s="2">
        <v>1.0001</v>
      </c>
      <c r="E115" s="3">
        <v>46.796199999999999</v>
      </c>
      <c r="F115" s="2">
        <v>5</v>
      </c>
      <c r="G115" s="2">
        <v>46.845999999999997</v>
      </c>
      <c r="H115" s="2">
        <f t="shared" si="1"/>
        <v>4.9799999999997624E-2</v>
      </c>
      <c r="I115" s="38">
        <f>+'PROTEÍNA AOAC 2001.11'!I339/100</f>
        <v>4.2198795180724905E-3</v>
      </c>
      <c r="J115" s="20"/>
      <c r="K115" s="204"/>
      <c r="L115" s="202"/>
      <c r="M115" s="2" t="s">
        <v>10</v>
      </c>
      <c r="N115" s="2" t="s">
        <v>10</v>
      </c>
      <c r="O115" s="2" t="s">
        <v>10</v>
      </c>
      <c r="P115" s="2" t="s">
        <v>14</v>
      </c>
      <c r="Q115" s="2" t="s">
        <v>15</v>
      </c>
    </row>
    <row r="116" spans="1:17" ht="16.5" x14ac:dyDescent="0.3">
      <c r="A116" s="31">
        <v>43342</v>
      </c>
      <c r="B116" s="2" t="s">
        <v>1078</v>
      </c>
      <c r="C116" s="3" t="s">
        <v>1079</v>
      </c>
      <c r="D116" s="2">
        <v>1.0003</v>
      </c>
      <c r="E116" s="3">
        <v>45.286900000000003</v>
      </c>
      <c r="F116" s="2">
        <v>3</v>
      </c>
      <c r="G116" s="2">
        <v>45.405999999999999</v>
      </c>
      <c r="H116" s="2">
        <f t="shared" si="1"/>
        <v>0.11909999999999599</v>
      </c>
      <c r="I116" s="20"/>
      <c r="J116" s="142" t="e">
        <f>+#REF!/100</f>
        <v>#REF!</v>
      </c>
      <c r="K116" s="204" t="e">
        <f>(((H116+H117)/2)-I117-J116-$K$62)/((D116+D117)/2)*100</f>
        <v>#REF!</v>
      </c>
      <c r="L116" s="202" t="s">
        <v>10</v>
      </c>
      <c r="M116" s="2" t="s">
        <v>10</v>
      </c>
      <c r="N116" s="2" t="s">
        <v>10</v>
      </c>
      <c r="O116" s="2" t="s">
        <v>10</v>
      </c>
      <c r="P116" s="2" t="s">
        <v>14</v>
      </c>
      <c r="Q116" s="2" t="s">
        <v>15</v>
      </c>
    </row>
    <row r="117" spans="1:17" ht="16.5" x14ac:dyDescent="0.3">
      <c r="A117" s="31">
        <v>43342</v>
      </c>
      <c r="B117" s="2" t="s">
        <v>1078</v>
      </c>
      <c r="C117" s="3" t="s">
        <v>1079</v>
      </c>
      <c r="D117" s="4">
        <v>1</v>
      </c>
      <c r="E117" s="3">
        <v>45.095599999999997</v>
      </c>
      <c r="F117" s="2">
        <v>7</v>
      </c>
      <c r="G117" s="2">
        <v>45.2027</v>
      </c>
      <c r="H117" s="2">
        <f t="shared" si="1"/>
        <v>0.10710000000000264</v>
      </c>
      <c r="I117" s="38">
        <f>+'PROTEÍNA AOAC 2001.11'!I340/100</f>
        <v>8.012254901960586E-2</v>
      </c>
      <c r="J117" s="20"/>
      <c r="K117" s="204"/>
      <c r="L117" s="202"/>
      <c r="M117" s="2" t="s">
        <v>10</v>
      </c>
      <c r="N117" s="2" t="s">
        <v>10</v>
      </c>
      <c r="O117" s="2" t="s">
        <v>10</v>
      </c>
      <c r="P117" s="2" t="s">
        <v>14</v>
      </c>
      <c r="Q117" s="2" t="s">
        <v>15</v>
      </c>
    </row>
    <row r="118" spans="1:17" ht="16.5" x14ac:dyDescent="0.3">
      <c r="A118" s="31">
        <v>43342</v>
      </c>
      <c r="B118" s="2" t="s">
        <v>1080</v>
      </c>
      <c r="C118" s="3" t="s">
        <v>1085</v>
      </c>
      <c r="D118" s="2">
        <v>1.0005999999999999</v>
      </c>
      <c r="E118" s="3">
        <v>46.299599999999998</v>
      </c>
      <c r="F118" s="2">
        <v>6</v>
      </c>
      <c r="G118" s="2">
        <v>46.363</v>
      </c>
      <c r="H118" s="2">
        <f t="shared" si="1"/>
        <v>6.3400000000001455E-2</v>
      </c>
      <c r="I118" s="20"/>
      <c r="J118" s="142" t="e">
        <f>+#REF!/100</f>
        <v>#REF!</v>
      </c>
      <c r="K118" s="204" t="e">
        <f>(((H118+H119)/2)-I119-J118-$K$62)/((D118+D119)/2)*100</f>
        <v>#REF!</v>
      </c>
      <c r="L118" s="202" t="s">
        <v>10</v>
      </c>
      <c r="M118" s="2" t="s">
        <v>10</v>
      </c>
      <c r="N118" s="2" t="s">
        <v>10</v>
      </c>
      <c r="O118" s="2" t="s">
        <v>10</v>
      </c>
      <c r="P118" s="2" t="s">
        <v>14</v>
      </c>
      <c r="Q118" s="2" t="s">
        <v>15</v>
      </c>
    </row>
    <row r="119" spans="1:17" ht="16.5" x14ac:dyDescent="0.3">
      <c r="A119" s="31">
        <v>43342</v>
      </c>
      <c r="B119" s="2" t="s">
        <v>1080</v>
      </c>
      <c r="C119" s="3" t="s">
        <v>1085</v>
      </c>
      <c r="D119" s="2">
        <v>1.0005999999999999</v>
      </c>
      <c r="E119" s="3">
        <v>46.723999999999997</v>
      </c>
      <c r="F119" s="2">
        <v>2</v>
      </c>
      <c r="G119" s="2">
        <v>46.801499999999997</v>
      </c>
      <c r="H119" s="2">
        <f t="shared" si="1"/>
        <v>7.7500000000000568E-2</v>
      </c>
      <c r="I119" s="38">
        <f>+'PROTEÍNA AOAC 2001.11'!I341/100</f>
        <v>2.3048709677419187E-2</v>
      </c>
      <c r="J119" s="20"/>
      <c r="K119" s="204"/>
      <c r="L119" s="202"/>
      <c r="M119" s="2" t="s">
        <v>10</v>
      </c>
      <c r="N119" s="2" t="s">
        <v>10</v>
      </c>
      <c r="O119" s="2" t="s">
        <v>10</v>
      </c>
      <c r="P119" s="2" t="s">
        <v>14</v>
      </c>
      <c r="Q119" s="2" t="s">
        <v>15</v>
      </c>
    </row>
    <row r="120" spans="1:17" ht="16.5" x14ac:dyDescent="0.3">
      <c r="A120" s="31">
        <v>43342</v>
      </c>
      <c r="B120" s="2" t="s">
        <v>1082</v>
      </c>
      <c r="C120" s="3" t="s">
        <v>1081</v>
      </c>
      <c r="D120" s="2">
        <v>1.0008999999999999</v>
      </c>
      <c r="E120" s="3">
        <v>45.361899999999999</v>
      </c>
      <c r="F120" s="2">
        <v>4</v>
      </c>
      <c r="G120" s="2">
        <v>45.802599999999998</v>
      </c>
      <c r="H120" s="2">
        <f t="shared" si="1"/>
        <v>0.44069999999999965</v>
      </c>
      <c r="I120" s="20"/>
      <c r="J120" s="142" t="e">
        <f>+#REF!/100</f>
        <v>#REF!</v>
      </c>
      <c r="K120" s="204" t="e">
        <f>(((H120+H121)/2)-I121-J120-$K$62)/((D120+D121)/2)*100</f>
        <v>#REF!</v>
      </c>
      <c r="L120" s="202" t="s">
        <v>10</v>
      </c>
      <c r="M120" s="2" t="s">
        <v>10</v>
      </c>
      <c r="N120" s="2" t="s">
        <v>10</v>
      </c>
      <c r="O120" s="2" t="s">
        <v>10</v>
      </c>
      <c r="P120" s="2" t="s">
        <v>14</v>
      </c>
      <c r="Q120" s="2" t="s">
        <v>15</v>
      </c>
    </row>
    <row r="121" spans="1:17" ht="16.5" x14ac:dyDescent="0.3">
      <c r="A121" s="31">
        <v>43342</v>
      </c>
      <c r="B121" s="2" t="s">
        <v>1082</v>
      </c>
      <c r="C121" s="3" t="s">
        <v>1081</v>
      </c>
      <c r="D121" s="2">
        <v>1.0008999999999999</v>
      </c>
      <c r="E121" s="3">
        <v>45.635199999999998</v>
      </c>
      <c r="F121" s="2">
        <v>1</v>
      </c>
      <c r="G121" s="2">
        <v>46.073900000000002</v>
      </c>
      <c r="H121" s="2">
        <f t="shared" si="1"/>
        <v>0.43870000000000431</v>
      </c>
      <c r="I121" s="38">
        <f>+'PROTEÍNA AOAC 2001.11'!I342/100</f>
        <v>0.10474766355140085</v>
      </c>
      <c r="J121" s="20"/>
      <c r="K121" s="204"/>
      <c r="L121" s="202"/>
      <c r="M121" s="2" t="s">
        <v>10</v>
      </c>
      <c r="N121" s="2" t="s">
        <v>10</v>
      </c>
      <c r="O121" s="2" t="s">
        <v>10</v>
      </c>
      <c r="P121" s="2" t="s">
        <v>14</v>
      </c>
      <c r="Q121" s="2" t="s">
        <v>15</v>
      </c>
    </row>
    <row r="122" spans="1:17" ht="16.5" x14ac:dyDescent="0.3">
      <c r="A122" s="31">
        <v>43347</v>
      </c>
      <c r="B122" s="2" t="s">
        <v>1084</v>
      </c>
      <c r="C122" s="3" t="s">
        <v>1083</v>
      </c>
      <c r="D122" s="2">
        <v>1.0008999999999999</v>
      </c>
      <c r="E122" s="3">
        <v>46.190899999999999</v>
      </c>
      <c r="F122" s="2">
        <v>4</v>
      </c>
      <c r="G122" s="2">
        <v>46.384599999999999</v>
      </c>
      <c r="H122" s="2">
        <f t="shared" si="1"/>
        <v>0.19369999999999976</v>
      </c>
      <c r="I122" s="20"/>
      <c r="J122" s="142" t="e">
        <f>+#REF!/100</f>
        <v>#REF!</v>
      </c>
      <c r="K122" s="204" t="e">
        <f>(((H122+H123)/2)-I123-J122-$K$62)/((D122+D123)/2)*100</f>
        <v>#REF!</v>
      </c>
      <c r="L122" s="204" t="e">
        <f>+K122*(100-55.2-9.9)/100</f>
        <v>#REF!</v>
      </c>
      <c r="M122" s="2" t="s">
        <v>10</v>
      </c>
      <c r="N122" s="2" t="s">
        <v>10</v>
      </c>
      <c r="O122" s="2" t="s">
        <v>10</v>
      </c>
      <c r="P122" s="2" t="s">
        <v>14</v>
      </c>
      <c r="Q122" s="2" t="s">
        <v>15</v>
      </c>
    </row>
    <row r="123" spans="1:17" ht="16.5" x14ac:dyDescent="0.3">
      <c r="A123" s="31">
        <v>43347</v>
      </c>
      <c r="B123" s="2" t="s">
        <v>1084</v>
      </c>
      <c r="C123" s="3" t="s">
        <v>1083</v>
      </c>
      <c r="D123" s="2">
        <v>1.0003</v>
      </c>
      <c r="E123" s="3">
        <v>46.524299999999997</v>
      </c>
      <c r="F123" s="2">
        <v>8</v>
      </c>
      <c r="G123" s="2">
        <v>46.707599999999999</v>
      </c>
      <c r="H123" s="2">
        <f t="shared" si="1"/>
        <v>0.18330000000000268</v>
      </c>
      <c r="I123" s="38">
        <f>+'PROTEÍNA AOAC 2001.11'!I343/100</f>
        <v>0.69042051963992446</v>
      </c>
      <c r="J123" s="20"/>
      <c r="K123" s="204"/>
      <c r="L123" s="204"/>
      <c r="M123" s="2" t="s">
        <v>10</v>
      </c>
      <c r="N123" s="2" t="s">
        <v>10</v>
      </c>
      <c r="O123" s="2" t="s">
        <v>10</v>
      </c>
      <c r="P123" s="2" t="s">
        <v>14</v>
      </c>
      <c r="Q123" s="2" t="s">
        <v>15</v>
      </c>
    </row>
    <row r="124" spans="1:17" ht="16.5" x14ac:dyDescent="0.3">
      <c r="A124" s="31">
        <v>43347</v>
      </c>
      <c r="B124" s="2" t="s">
        <v>1086</v>
      </c>
      <c r="C124" s="3" t="s">
        <v>1087</v>
      </c>
      <c r="D124" s="2">
        <v>1.0005999999999999</v>
      </c>
      <c r="E124" s="3">
        <v>45.7423</v>
      </c>
      <c r="F124" s="2">
        <v>1</v>
      </c>
      <c r="G124" s="2">
        <v>45.949599999999997</v>
      </c>
      <c r="H124" s="2">
        <f t="shared" si="1"/>
        <v>0.20729999999999649</v>
      </c>
      <c r="I124" s="20"/>
      <c r="J124" s="142" t="e">
        <f>+#REF!/100</f>
        <v>#REF!</v>
      </c>
      <c r="K124" s="204" t="e">
        <f>(((H124+H125)/2)-I125-J124-$K$62)/((D124+D125)/2)*100</f>
        <v>#REF!</v>
      </c>
      <c r="L124" s="204" t="e">
        <f>+K124*(100-10.69-1.6)/100</f>
        <v>#REF!</v>
      </c>
      <c r="M124" s="2" t="s">
        <v>10</v>
      </c>
      <c r="N124" s="2" t="s">
        <v>10</v>
      </c>
      <c r="O124" s="2" t="s">
        <v>10</v>
      </c>
      <c r="P124" s="2" t="s">
        <v>14</v>
      </c>
      <c r="Q124" s="2" t="s">
        <v>15</v>
      </c>
    </row>
    <row r="125" spans="1:17" ht="16.5" x14ac:dyDescent="0.3">
      <c r="A125" s="31">
        <v>43347</v>
      </c>
      <c r="B125" s="2" t="s">
        <v>1086</v>
      </c>
      <c r="C125" s="3" t="s">
        <v>1087</v>
      </c>
      <c r="D125" s="2">
        <v>1.0004999999999999</v>
      </c>
      <c r="E125" s="3">
        <v>45.907699999999998</v>
      </c>
      <c r="F125" s="2">
        <v>3</v>
      </c>
      <c r="G125" s="2">
        <v>46.102499999999999</v>
      </c>
      <c r="H125" s="2">
        <f t="shared" si="1"/>
        <v>0.19480000000000075</v>
      </c>
      <c r="I125" s="38">
        <f>+'PROTEÍNA AOAC 2001.11'!I344/100</f>
        <v>0.12954575205338759</v>
      </c>
      <c r="J125" s="20"/>
      <c r="K125" s="204"/>
      <c r="L125" s="204"/>
      <c r="M125" s="2" t="s">
        <v>10</v>
      </c>
      <c r="N125" s="2" t="s">
        <v>10</v>
      </c>
      <c r="O125" s="2" t="s">
        <v>10</v>
      </c>
      <c r="P125" s="2" t="s">
        <v>14</v>
      </c>
      <c r="Q125" s="2" t="s">
        <v>15</v>
      </c>
    </row>
    <row r="126" spans="1:17" ht="16.5" x14ac:dyDescent="0.3">
      <c r="A126" s="31">
        <v>43357</v>
      </c>
      <c r="B126" s="2" t="s">
        <v>1150</v>
      </c>
      <c r="C126" s="3" t="s">
        <v>1149</v>
      </c>
      <c r="D126" s="2">
        <v>1.0006999999999999</v>
      </c>
      <c r="E126" s="3">
        <v>46.440600000000003</v>
      </c>
      <c r="F126" s="2">
        <v>2</v>
      </c>
      <c r="G126" s="2">
        <v>46.923699999999997</v>
      </c>
      <c r="H126" s="2">
        <f t="shared" si="1"/>
        <v>0.4830999999999932</v>
      </c>
      <c r="I126" s="20"/>
      <c r="J126" s="142" t="e">
        <f>+#REF!/100</f>
        <v>#REF!</v>
      </c>
      <c r="K126" s="204" t="e">
        <f>+((((H126+H127)/2)-I127-J126-$K$2)/((D126+D127)/2))*100</f>
        <v>#REF!</v>
      </c>
      <c r="L126" s="204" t="e">
        <f>+K126*(100-52.89-24.14)/100</f>
        <v>#REF!</v>
      </c>
      <c r="M126" s="2" t="s">
        <v>10</v>
      </c>
      <c r="N126" s="2" t="s">
        <v>10</v>
      </c>
      <c r="O126" s="2" t="s">
        <v>10</v>
      </c>
      <c r="P126" s="2" t="s">
        <v>14</v>
      </c>
      <c r="Q126" s="2" t="s">
        <v>15</v>
      </c>
    </row>
    <row r="127" spans="1:17" ht="16.5" x14ac:dyDescent="0.3">
      <c r="A127" s="31">
        <v>43357</v>
      </c>
      <c r="B127" s="2" t="s">
        <v>1150</v>
      </c>
      <c r="C127" s="3" t="s">
        <v>1149</v>
      </c>
      <c r="D127" s="2">
        <v>1.0008999999999999</v>
      </c>
      <c r="E127" s="3">
        <v>46.771000000000001</v>
      </c>
      <c r="F127" s="2">
        <v>8</v>
      </c>
      <c r="G127" s="2">
        <v>47.279000000000003</v>
      </c>
      <c r="H127" s="2">
        <f t="shared" si="1"/>
        <v>0.50800000000000267</v>
      </c>
      <c r="I127" s="38">
        <f>+'PROTEÍNA AOAC 2001.11'!I401/100</f>
        <v>0.48435162401574561</v>
      </c>
      <c r="J127" s="20"/>
      <c r="K127" s="204"/>
      <c r="L127" s="204"/>
      <c r="M127" s="2" t="s">
        <v>10</v>
      </c>
      <c r="N127" s="2" t="s">
        <v>10</v>
      </c>
      <c r="O127" s="2" t="s">
        <v>10</v>
      </c>
      <c r="P127" s="2" t="s">
        <v>14</v>
      </c>
      <c r="Q127" s="2" t="s">
        <v>15</v>
      </c>
    </row>
    <row r="128" spans="1:17" ht="16.5" x14ac:dyDescent="0.3">
      <c r="A128" s="31">
        <v>43367</v>
      </c>
      <c r="B128" s="2" t="s">
        <v>1190</v>
      </c>
      <c r="C128" s="3" t="s">
        <v>1191</v>
      </c>
      <c r="D128" s="2">
        <v>1.0004999999999999</v>
      </c>
      <c r="E128" s="3">
        <v>46.546599999999998</v>
      </c>
      <c r="F128" s="2">
        <v>1</v>
      </c>
      <c r="G128" s="2">
        <v>46.559199999999997</v>
      </c>
      <c r="H128" s="2">
        <f t="shared" si="1"/>
        <v>1.2599999999999056E-2</v>
      </c>
      <c r="I128" s="20"/>
      <c r="J128" s="142" t="e">
        <f>+#REF!/100</f>
        <v>#REF!</v>
      </c>
      <c r="K128" s="204" t="e">
        <f>+((((H128+H129)/2)-I129-J128-$K$2)/((D128+D129)/2))*100</f>
        <v>#REF!</v>
      </c>
      <c r="L128" s="2"/>
      <c r="M128" s="2" t="s">
        <v>10</v>
      </c>
      <c r="N128" s="2" t="s">
        <v>10</v>
      </c>
      <c r="O128" s="2" t="s">
        <v>10</v>
      </c>
      <c r="P128" s="2" t="s">
        <v>14</v>
      </c>
      <c r="Q128" s="2" t="s">
        <v>15</v>
      </c>
    </row>
    <row r="129" spans="1:17" ht="16.5" x14ac:dyDescent="0.3">
      <c r="A129" s="31">
        <v>43367</v>
      </c>
      <c r="B129" s="2" t="s">
        <v>1190</v>
      </c>
      <c r="C129" s="3" t="s">
        <v>1191</v>
      </c>
      <c r="D129" s="2">
        <v>1.0004</v>
      </c>
      <c r="E129" s="3">
        <v>45.491199999999999</v>
      </c>
      <c r="F129" s="2">
        <v>2</v>
      </c>
      <c r="G129" s="2">
        <v>45.504199999999997</v>
      </c>
      <c r="H129" s="2">
        <f t="shared" si="1"/>
        <v>1.2999999999998124E-2</v>
      </c>
      <c r="I129" s="38">
        <f>+'PROTEÍNA AOAC 2001.11'!I426/100</f>
        <v>0.28558846153850276</v>
      </c>
      <c r="J129" s="20"/>
      <c r="K129" s="204"/>
      <c r="L129" s="2"/>
      <c r="M129" s="2" t="s">
        <v>10</v>
      </c>
      <c r="N129" s="2" t="s">
        <v>10</v>
      </c>
      <c r="O129" s="2" t="s">
        <v>10</v>
      </c>
      <c r="P129" s="2" t="s">
        <v>14</v>
      </c>
      <c r="Q129" s="2" t="s">
        <v>15</v>
      </c>
    </row>
    <row r="130" spans="1:17" ht="16.5" x14ac:dyDescent="0.3">
      <c r="A130" s="31">
        <v>43374</v>
      </c>
      <c r="B130" s="2" t="s">
        <v>1192</v>
      </c>
      <c r="C130" s="3" t="s">
        <v>1193</v>
      </c>
      <c r="D130" s="2">
        <v>1.0046999999999999</v>
      </c>
      <c r="E130" s="3">
        <v>45.522599999999997</v>
      </c>
      <c r="F130" s="2">
        <v>3</v>
      </c>
      <c r="G130" s="2">
        <v>46.162599999999998</v>
      </c>
      <c r="H130" s="2">
        <f t="shared" si="1"/>
        <v>0.64000000000000057</v>
      </c>
      <c r="I130" s="20"/>
      <c r="J130" s="142" t="e">
        <f>+#REF!/100</f>
        <v>#REF!</v>
      </c>
      <c r="K130" s="204" t="e">
        <f>+((((H130+H131)/2)-I131-J130-$K$2)/((D130+D131)/2))*100</f>
        <v>#REF!</v>
      </c>
      <c r="L130" s="202">
        <v>0</v>
      </c>
      <c r="M130" s="204">
        <v>0</v>
      </c>
      <c r="N130" s="204">
        <v>0</v>
      </c>
      <c r="O130" s="204">
        <v>0</v>
      </c>
      <c r="P130" s="2" t="s">
        <v>14</v>
      </c>
      <c r="Q130" s="2" t="s">
        <v>15</v>
      </c>
    </row>
    <row r="131" spans="1:17" ht="16.5" x14ac:dyDescent="0.3">
      <c r="A131" s="31">
        <v>43375</v>
      </c>
      <c r="B131" s="2" t="s">
        <v>1194</v>
      </c>
      <c r="C131" s="3" t="s">
        <v>1195</v>
      </c>
      <c r="D131" s="2">
        <v>1.0597000000000001</v>
      </c>
      <c r="E131" s="3">
        <v>45.755899999999997</v>
      </c>
      <c r="F131" s="2">
        <v>4</v>
      </c>
      <c r="G131" s="2">
        <v>46.371099999999998</v>
      </c>
      <c r="H131" s="2">
        <f t="shared" si="1"/>
        <v>0.61520000000000152</v>
      </c>
      <c r="I131" s="38">
        <f>+'PROTEÍNA AOAC 2001.11'!I427/100</f>
        <v>0.77696062256176679</v>
      </c>
      <c r="J131" s="20"/>
      <c r="K131" s="204"/>
      <c r="L131" s="202"/>
      <c r="M131" s="204"/>
      <c r="N131" s="204"/>
      <c r="O131" s="204"/>
      <c r="P131" s="2" t="s">
        <v>14</v>
      </c>
      <c r="Q131" s="2" t="s">
        <v>15</v>
      </c>
    </row>
    <row r="132" spans="1:17" ht="16.5" x14ac:dyDescent="0.3">
      <c r="A132" s="31">
        <v>43374</v>
      </c>
      <c r="B132" s="2" t="s">
        <v>1192</v>
      </c>
      <c r="C132" s="3" t="s">
        <v>1193</v>
      </c>
      <c r="D132" s="2">
        <v>1.0046999999999999</v>
      </c>
      <c r="E132" s="3">
        <v>45.068600000000004</v>
      </c>
      <c r="F132" s="2">
        <v>7</v>
      </c>
      <c r="G132" s="2">
        <v>45.252800000000001</v>
      </c>
      <c r="H132" s="2">
        <f t="shared" si="1"/>
        <v>0.18419999999999703</v>
      </c>
      <c r="I132" s="20"/>
      <c r="J132" s="142" t="e">
        <f>+#REF!/100</f>
        <v>#REF!</v>
      </c>
      <c r="K132" s="204" t="e">
        <f>+((((H132+H133)/2)-I133-J132-$K$2)/((D132+D133)/2))*100</f>
        <v>#REF!</v>
      </c>
      <c r="L132" s="202">
        <v>0</v>
      </c>
      <c r="M132" s="204"/>
      <c r="N132" s="204"/>
      <c r="O132" s="204"/>
      <c r="P132" s="2" t="s">
        <v>14</v>
      </c>
      <c r="Q132" s="2" t="s">
        <v>15</v>
      </c>
    </row>
    <row r="133" spans="1:17" ht="16.5" x14ac:dyDescent="0.3">
      <c r="A133" s="31">
        <v>43375</v>
      </c>
      <c r="B133" s="2" t="s">
        <v>1194</v>
      </c>
      <c r="C133" s="3" t="s">
        <v>1195</v>
      </c>
      <c r="D133" s="2">
        <v>1.0597000000000001</v>
      </c>
      <c r="E133" s="3">
        <v>46.000799999999998</v>
      </c>
      <c r="F133" s="2">
        <v>2</v>
      </c>
      <c r="G133" s="2">
        <v>46.014200000000002</v>
      </c>
      <c r="H133" s="2">
        <f t="shared" si="1"/>
        <v>1.3400000000004297E-2</v>
      </c>
      <c r="I133" s="38">
        <f>+'PROTEÍNA AOAC 2001.11'!I428/100</f>
        <v>0.62992723880576806</v>
      </c>
      <c r="J133" s="20"/>
      <c r="K133" s="204"/>
      <c r="L133" s="202"/>
      <c r="M133" s="204"/>
      <c r="N133" s="204"/>
      <c r="O133" s="204"/>
      <c r="P133" s="2" t="s">
        <v>14</v>
      </c>
      <c r="Q133" s="2" t="s">
        <v>15</v>
      </c>
    </row>
    <row r="134" spans="1:17" ht="16.5" x14ac:dyDescent="0.3">
      <c r="A134" s="31">
        <v>43374</v>
      </c>
      <c r="B134" s="2" t="s">
        <v>1198</v>
      </c>
      <c r="C134" s="3" t="s">
        <v>1199</v>
      </c>
      <c r="D134" s="2">
        <v>1.0251999999999999</v>
      </c>
      <c r="E134" s="3">
        <v>45.448999999999998</v>
      </c>
      <c r="F134" s="2">
        <v>1</v>
      </c>
      <c r="G134" s="2">
        <v>45.629399999999997</v>
      </c>
      <c r="H134" s="2">
        <f t="shared" si="1"/>
        <v>0.18039999999999878</v>
      </c>
      <c r="I134" s="20"/>
      <c r="J134" s="142" t="e">
        <f>+#REF!</f>
        <v>#REF!</v>
      </c>
      <c r="K134" s="204" t="e">
        <f>+((((H134+H135)/2)-I135-J134-$K$2)/((D134+D135)/2))*100</f>
        <v>#REF!</v>
      </c>
      <c r="L134" s="204" t="e">
        <f>+K134*(100-'SOFT-TC-075'!#REF!)/100</f>
        <v>#REF!</v>
      </c>
      <c r="M134" s="2" t="s">
        <v>10</v>
      </c>
      <c r="N134" s="2" t="s">
        <v>10</v>
      </c>
      <c r="O134" s="2" t="s">
        <v>10</v>
      </c>
      <c r="P134" s="2" t="s">
        <v>14</v>
      </c>
      <c r="Q134" s="2" t="s">
        <v>15</v>
      </c>
    </row>
    <row r="135" spans="1:17" ht="16.5" x14ac:dyDescent="0.3">
      <c r="A135" s="31">
        <v>43374</v>
      </c>
      <c r="B135" s="2" t="s">
        <v>1198</v>
      </c>
      <c r="C135" s="3" t="s">
        <v>1199</v>
      </c>
      <c r="D135" s="2">
        <v>1.0329999999999999</v>
      </c>
      <c r="E135" s="3">
        <v>46.568199999999997</v>
      </c>
      <c r="F135" s="2">
        <v>8</v>
      </c>
      <c r="G135" s="2">
        <v>46.6798</v>
      </c>
      <c r="H135" s="2">
        <f t="shared" si="1"/>
        <v>0.11160000000000281</v>
      </c>
      <c r="I135" s="38">
        <v>0</v>
      </c>
      <c r="J135" s="20"/>
      <c r="K135" s="204"/>
      <c r="L135" s="204"/>
      <c r="M135" s="2" t="s">
        <v>10</v>
      </c>
      <c r="N135" s="2" t="s">
        <v>10</v>
      </c>
      <c r="O135" s="2" t="s">
        <v>10</v>
      </c>
      <c r="P135" s="2" t="s">
        <v>14</v>
      </c>
      <c r="Q135" s="2" t="s">
        <v>15</v>
      </c>
    </row>
    <row r="136" spans="1:17" ht="16.5" x14ac:dyDescent="0.3">
      <c r="A136" s="31">
        <v>43378</v>
      </c>
      <c r="B136" s="2" t="s">
        <v>1205</v>
      </c>
      <c r="C136" s="3" t="s">
        <v>1206</v>
      </c>
      <c r="D136" s="2">
        <v>1.0205</v>
      </c>
      <c r="E136" s="3">
        <v>45.196800000000003</v>
      </c>
      <c r="F136" s="2">
        <v>1</v>
      </c>
      <c r="G136" s="3">
        <v>45.252800000000001</v>
      </c>
      <c r="H136" s="2">
        <f t="shared" si="1"/>
        <v>5.5999999999997385E-2</v>
      </c>
      <c r="I136" s="20"/>
      <c r="J136" s="142" t="e">
        <f>+#REF!/100</f>
        <v>#REF!</v>
      </c>
      <c r="K136" s="204" t="e">
        <f>+((((H136+H137)/2)-I137-J136-$K$2)/((D136+D137)/2))*100</f>
        <v>#REF!</v>
      </c>
      <c r="L136" s="204" t="e">
        <f>+K136*(100-'SOFT-TC-075'!#REF!)/100</f>
        <v>#REF!</v>
      </c>
      <c r="M136" s="204">
        <v>0</v>
      </c>
      <c r="N136" s="204">
        <v>0</v>
      </c>
      <c r="O136" s="204">
        <v>0</v>
      </c>
      <c r="P136" s="2" t="s">
        <v>14</v>
      </c>
      <c r="Q136" s="2" t="s">
        <v>15</v>
      </c>
    </row>
    <row r="137" spans="1:17" ht="16.5" x14ac:dyDescent="0.3">
      <c r="A137" s="31">
        <v>43378</v>
      </c>
      <c r="B137" s="2" t="s">
        <v>1205</v>
      </c>
      <c r="C137" s="3" t="s">
        <v>1206</v>
      </c>
      <c r="D137" s="2">
        <v>1.0637000000000001</v>
      </c>
      <c r="E137" s="3">
        <v>46.5503</v>
      </c>
      <c r="F137" s="2">
        <v>5</v>
      </c>
      <c r="G137" s="3">
        <v>46.6038</v>
      </c>
      <c r="H137" s="2">
        <f t="shared" si="1"/>
        <v>5.3499999999999659E-2</v>
      </c>
      <c r="I137" s="38">
        <f>+'PROTEÍNA AOAC 2001.11'!I435/100</f>
        <v>0.68806121495327544</v>
      </c>
      <c r="J137" s="20"/>
      <c r="K137" s="204"/>
      <c r="L137" s="204"/>
      <c r="M137" s="204"/>
      <c r="N137" s="204"/>
      <c r="O137" s="204"/>
      <c r="P137" s="2" t="s">
        <v>14</v>
      </c>
      <c r="Q137" s="2" t="s">
        <v>15</v>
      </c>
    </row>
    <row r="138" spans="1:17" ht="16.5" x14ac:dyDescent="0.3">
      <c r="A138" s="31">
        <v>43378</v>
      </c>
      <c r="B138" s="2" t="s">
        <v>1205</v>
      </c>
      <c r="C138" s="3" t="s">
        <v>1206</v>
      </c>
      <c r="D138" s="2">
        <v>1.0205</v>
      </c>
      <c r="E138" s="3">
        <v>44.389800000000001</v>
      </c>
      <c r="F138" s="2">
        <v>7</v>
      </c>
      <c r="G138" s="3">
        <v>44.409199999999998</v>
      </c>
      <c r="H138" s="2">
        <f t="shared" ref="H138:H139" si="2">+G138-E138</f>
        <v>1.9399999999997419E-2</v>
      </c>
      <c r="I138" s="20"/>
      <c r="J138" s="142" t="e">
        <f>+#REF!/100</f>
        <v>#REF!</v>
      </c>
      <c r="K138" s="204" t="e">
        <f>+((((H138+H139)/2)-I139-J138-$K$2)/((D138+D139)/2))*100</f>
        <v>#REF!</v>
      </c>
      <c r="L138" s="204" t="e">
        <f>+K138*(100-'SOFT-TC-075'!#REF!)/100</f>
        <v>#REF!</v>
      </c>
      <c r="M138" s="204"/>
      <c r="N138" s="204"/>
      <c r="O138" s="204"/>
      <c r="P138" s="2" t="s">
        <v>14</v>
      </c>
      <c r="Q138" s="2" t="s">
        <v>15</v>
      </c>
    </row>
    <row r="139" spans="1:17" ht="16.5" x14ac:dyDescent="0.3">
      <c r="A139" s="31">
        <v>43378</v>
      </c>
      <c r="B139" s="2" t="s">
        <v>1205</v>
      </c>
      <c r="C139" s="3" t="s">
        <v>1206</v>
      </c>
      <c r="D139" s="2">
        <v>1.0637000000000001</v>
      </c>
      <c r="E139" s="3">
        <v>46.05</v>
      </c>
      <c r="F139" s="2">
        <v>6</v>
      </c>
      <c r="G139" s="3">
        <v>46.065300000000001</v>
      </c>
      <c r="H139" s="2">
        <f t="shared" si="2"/>
        <v>1.5300000000003422E-2</v>
      </c>
      <c r="I139" s="38">
        <f>+'PROTEÍNA AOAC 2001.11'!I436/100</f>
        <v>0.67646323529396635</v>
      </c>
      <c r="J139" s="20"/>
      <c r="K139" s="204"/>
      <c r="L139" s="204"/>
      <c r="M139" s="204"/>
      <c r="N139" s="204"/>
      <c r="O139" s="204"/>
      <c r="P139" s="2" t="s">
        <v>14</v>
      </c>
      <c r="Q139" s="2" t="s">
        <v>15</v>
      </c>
    </row>
  </sheetData>
  <autoFilter ref="A2:Q2" xr:uid="{00000000-0009-0000-0000-000006000000}"/>
  <mergeCells count="184">
    <mergeCell ref="K86:K87"/>
    <mergeCell ref="L86:L87"/>
    <mergeCell ref="K74:K75"/>
    <mergeCell ref="K76:K77"/>
    <mergeCell ref="K78:K79"/>
    <mergeCell ref="K80:K81"/>
    <mergeCell ref="K84:K85"/>
    <mergeCell ref="K82:K83"/>
    <mergeCell ref="L74:L75"/>
    <mergeCell ref="L76:L77"/>
    <mergeCell ref="L78:L79"/>
    <mergeCell ref="M80:M83"/>
    <mergeCell ref="L84:L85"/>
    <mergeCell ref="K58:K59"/>
    <mergeCell ref="L58:L59"/>
    <mergeCell ref="K60:K61"/>
    <mergeCell ref="L60:L61"/>
    <mergeCell ref="L50:L51"/>
    <mergeCell ref="L52:L53"/>
    <mergeCell ref="K72:K73"/>
    <mergeCell ref="L72:L73"/>
    <mergeCell ref="K70:K71"/>
    <mergeCell ref="L70:L71"/>
    <mergeCell ref="K30:K31"/>
    <mergeCell ref="K22:K23"/>
    <mergeCell ref="L28:L29"/>
    <mergeCell ref="L30:L31"/>
    <mergeCell ref="L54:L55"/>
    <mergeCell ref="L56:L57"/>
    <mergeCell ref="K54:K55"/>
    <mergeCell ref="K56:K57"/>
    <mergeCell ref="K50:K51"/>
    <mergeCell ref="K52:K53"/>
    <mergeCell ref="K38:K39"/>
    <mergeCell ref="K40:K41"/>
    <mergeCell ref="L32:L33"/>
    <mergeCell ref="L34:L35"/>
    <mergeCell ref="L36:L37"/>
    <mergeCell ref="K46:K47"/>
    <mergeCell ref="K48:K49"/>
    <mergeCell ref="K2:K3"/>
    <mergeCell ref="K4:K5"/>
    <mergeCell ref="K6:K7"/>
    <mergeCell ref="K8:K9"/>
    <mergeCell ref="K14:K15"/>
    <mergeCell ref="K12:K13"/>
    <mergeCell ref="K10:K11"/>
    <mergeCell ref="K18:K19"/>
    <mergeCell ref="K20:K21"/>
    <mergeCell ref="L8:L9"/>
    <mergeCell ref="K16:K17"/>
    <mergeCell ref="L14:L15"/>
    <mergeCell ref="L16:L17"/>
    <mergeCell ref="L10:L11"/>
    <mergeCell ref="L12:L13"/>
    <mergeCell ref="K28:K29"/>
    <mergeCell ref="L18:L19"/>
    <mergeCell ref="L20:L21"/>
    <mergeCell ref="L22:L23"/>
    <mergeCell ref="L24:L25"/>
    <mergeCell ref="L26:L27"/>
    <mergeCell ref="K24:K25"/>
    <mergeCell ref="K26:K27"/>
    <mergeCell ref="N50:N53"/>
    <mergeCell ref="M50:M53"/>
    <mergeCell ref="O50:O53"/>
    <mergeCell ref="M46:M49"/>
    <mergeCell ref="N46:N49"/>
    <mergeCell ref="K32:K33"/>
    <mergeCell ref="K34:K35"/>
    <mergeCell ref="K36:K37"/>
    <mergeCell ref="K42:K43"/>
    <mergeCell ref="K44:K45"/>
    <mergeCell ref="N58:N59"/>
    <mergeCell ref="O58:O59"/>
    <mergeCell ref="M60:M61"/>
    <mergeCell ref="N60:N61"/>
    <mergeCell ref="O60:O61"/>
    <mergeCell ref="M58:M59"/>
    <mergeCell ref="O46:O49"/>
    <mergeCell ref="K68:K69"/>
    <mergeCell ref="L68:L69"/>
    <mergeCell ref="K62:K63"/>
    <mergeCell ref="K64:K65"/>
    <mergeCell ref="L64:L65"/>
    <mergeCell ref="K66:K67"/>
    <mergeCell ref="N62:N63"/>
    <mergeCell ref="O62:O63"/>
    <mergeCell ref="N64:N65"/>
    <mergeCell ref="O64:O65"/>
    <mergeCell ref="N66:N67"/>
    <mergeCell ref="O66:O67"/>
    <mergeCell ref="N68:N69"/>
    <mergeCell ref="O68:O69"/>
    <mergeCell ref="M54:M57"/>
    <mergeCell ref="N54:N57"/>
    <mergeCell ref="O54:O57"/>
    <mergeCell ref="K106:K107"/>
    <mergeCell ref="K112:K113"/>
    <mergeCell ref="L106:L107"/>
    <mergeCell ref="L110:L111"/>
    <mergeCell ref="L112:L113"/>
    <mergeCell ref="N80:N83"/>
    <mergeCell ref="O80:O83"/>
    <mergeCell ref="L80:L81"/>
    <mergeCell ref="L82:L83"/>
    <mergeCell ref="N96:N99"/>
    <mergeCell ref="O96:O99"/>
    <mergeCell ref="K94:K95"/>
    <mergeCell ref="L94:L95"/>
    <mergeCell ref="M94:M95"/>
    <mergeCell ref="K96:K97"/>
    <mergeCell ref="K98:K99"/>
    <mergeCell ref="L96:L97"/>
    <mergeCell ref="L98:L99"/>
    <mergeCell ref="N90:N93"/>
    <mergeCell ref="O90:O93"/>
    <mergeCell ref="K88:K89"/>
    <mergeCell ref="L88:L89"/>
    <mergeCell ref="M88:M89"/>
    <mergeCell ref="K90:K91"/>
    <mergeCell ref="L108:L109"/>
    <mergeCell ref="K126:K127"/>
    <mergeCell ref="L126:L127"/>
    <mergeCell ref="K114:K115"/>
    <mergeCell ref="K116:K117"/>
    <mergeCell ref="K118:K119"/>
    <mergeCell ref="K120:K121"/>
    <mergeCell ref="K122:K123"/>
    <mergeCell ref="K124:K125"/>
    <mergeCell ref="L114:L115"/>
    <mergeCell ref="L116:L117"/>
    <mergeCell ref="L118:L119"/>
    <mergeCell ref="L120:L121"/>
    <mergeCell ref="L122:L123"/>
    <mergeCell ref="L124:L125"/>
    <mergeCell ref="N106:N109"/>
    <mergeCell ref="O106:O109"/>
    <mergeCell ref="M106:M109"/>
    <mergeCell ref="K128:K129"/>
    <mergeCell ref="K110:K111"/>
    <mergeCell ref="M110:M111"/>
    <mergeCell ref="O130:O133"/>
    <mergeCell ref="N130:N133"/>
    <mergeCell ref="N136:N139"/>
    <mergeCell ref="O136:O139"/>
    <mergeCell ref="M112:M113"/>
    <mergeCell ref="K108:K109"/>
    <mergeCell ref="K134:K135"/>
    <mergeCell ref="L130:L131"/>
    <mergeCell ref="L132:L133"/>
    <mergeCell ref="M130:M133"/>
    <mergeCell ref="K136:K137"/>
    <mergeCell ref="K138:K139"/>
    <mergeCell ref="L136:L137"/>
    <mergeCell ref="L138:L139"/>
    <mergeCell ref="M136:M139"/>
    <mergeCell ref="L134:L135"/>
    <mergeCell ref="K130:K131"/>
    <mergeCell ref="K132:K133"/>
    <mergeCell ref="K102:K103"/>
    <mergeCell ref="K104:K105"/>
    <mergeCell ref="L102:L103"/>
    <mergeCell ref="L104:L105"/>
    <mergeCell ref="M102:M103"/>
    <mergeCell ref="M104:M105"/>
    <mergeCell ref="N70:N71"/>
    <mergeCell ref="O70:O71"/>
    <mergeCell ref="N72:N73"/>
    <mergeCell ref="O72:O73"/>
    <mergeCell ref="N74:N75"/>
    <mergeCell ref="O74:O75"/>
    <mergeCell ref="N76:N77"/>
    <mergeCell ref="O76:O77"/>
    <mergeCell ref="N78:N79"/>
    <mergeCell ref="O78:O79"/>
    <mergeCell ref="K100:K101"/>
    <mergeCell ref="L100:L101"/>
    <mergeCell ref="M100:M101"/>
    <mergeCell ref="M96:M99"/>
    <mergeCell ref="K92:K93"/>
    <mergeCell ref="L90:L91"/>
    <mergeCell ref="L92:L93"/>
    <mergeCell ref="M90:M93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filterMode="1">
    <pageSetUpPr fitToPage="1"/>
  </sheetPr>
  <dimension ref="A1:Q436"/>
  <sheetViews>
    <sheetView zoomScale="70" zoomScaleNormal="70" workbookViewId="0">
      <selection activeCell="G452" sqref="G452"/>
    </sheetView>
  </sheetViews>
  <sheetFormatPr baseColWidth="10" defaultRowHeight="16.5" x14ac:dyDescent="0.3"/>
  <cols>
    <col min="1" max="1" width="14.875" style="29" customWidth="1"/>
    <col min="2" max="2" width="16.625" style="14" customWidth="1"/>
    <col min="3" max="3" width="76.5" customWidth="1"/>
    <col min="6" max="6" width="16" style="14" customWidth="1"/>
    <col min="7" max="7" width="15.375" customWidth="1"/>
    <col min="8" max="8" width="12.375" customWidth="1"/>
    <col min="9" max="9" width="23.625" customWidth="1"/>
    <col min="10" max="10" width="28" customWidth="1"/>
    <col min="11" max="12" width="23.625" customWidth="1"/>
    <col min="13" max="13" width="21.625" customWidth="1"/>
    <col min="14" max="15" width="20.75" customWidth="1"/>
    <col min="16" max="16" width="19.25" customWidth="1"/>
    <col min="17" max="17" width="20.625" customWidth="1"/>
  </cols>
  <sheetData>
    <row r="1" spans="1:17" ht="16.5" customHeight="1" thickBot="1" x14ac:dyDescent="0.35">
      <c r="A1" s="231"/>
      <c r="B1" s="232"/>
      <c r="C1" s="247" t="s">
        <v>657</v>
      </c>
      <c r="D1" s="248"/>
      <c r="E1" s="248"/>
      <c r="F1" s="248"/>
      <c r="G1" s="248"/>
      <c r="H1" s="249"/>
      <c r="I1" s="282" t="s">
        <v>41</v>
      </c>
      <c r="J1" s="283"/>
      <c r="K1" s="283"/>
      <c r="L1" s="283"/>
      <c r="M1" s="283"/>
      <c r="N1" s="283"/>
      <c r="O1" s="283"/>
      <c r="P1" s="283"/>
      <c r="Q1" s="284"/>
    </row>
    <row r="2" spans="1:17" ht="17.25" thickBot="1" x14ac:dyDescent="0.35">
      <c r="A2" s="233"/>
      <c r="B2" s="234"/>
      <c r="C2" s="250"/>
      <c r="D2" s="251"/>
      <c r="E2" s="251"/>
      <c r="F2" s="251"/>
      <c r="G2" s="251"/>
      <c r="H2" s="252"/>
      <c r="I2" s="282" t="s">
        <v>6</v>
      </c>
      <c r="J2" s="283"/>
      <c r="K2" s="283"/>
      <c r="L2" s="283"/>
      <c r="M2" s="283"/>
      <c r="N2" s="283"/>
      <c r="O2" s="283"/>
      <c r="P2" s="283"/>
      <c r="Q2" s="284"/>
    </row>
    <row r="3" spans="1:17" ht="52.5" customHeight="1" thickBot="1" x14ac:dyDescent="0.35">
      <c r="A3" s="235"/>
      <c r="B3" s="236"/>
      <c r="C3" s="253"/>
      <c r="D3" s="254"/>
      <c r="E3" s="254"/>
      <c r="F3" s="254"/>
      <c r="G3" s="254"/>
      <c r="H3" s="255"/>
      <c r="I3" s="243" t="s">
        <v>7</v>
      </c>
      <c r="J3" s="244"/>
      <c r="K3" s="244"/>
      <c r="L3" s="244"/>
      <c r="M3" s="244"/>
      <c r="N3" s="244"/>
      <c r="O3" s="244"/>
      <c r="P3" s="244"/>
      <c r="Q3" s="246"/>
    </row>
    <row r="4" spans="1:17" ht="68.25" customHeight="1" thickBot="1" x14ac:dyDescent="0.35">
      <c r="A4" s="292" t="s">
        <v>68</v>
      </c>
      <c r="B4" s="293"/>
      <c r="C4" s="294"/>
      <c r="D4" s="294"/>
      <c r="E4" s="295"/>
      <c r="F4" s="296" t="s">
        <v>69</v>
      </c>
      <c r="G4" s="297"/>
      <c r="H4" s="298"/>
      <c r="I4" s="299"/>
      <c r="J4" s="95"/>
      <c r="K4" s="95"/>
      <c r="L4" s="95"/>
      <c r="M4" s="30" t="s">
        <v>9</v>
      </c>
      <c r="N4" s="30"/>
      <c r="O4" s="285" t="s">
        <v>70</v>
      </c>
      <c r="P4" s="286"/>
      <c r="Q4" s="287"/>
    </row>
    <row r="5" spans="1:17" ht="37.5" customHeight="1" x14ac:dyDescent="0.3">
      <c r="A5" s="288" t="s">
        <v>71</v>
      </c>
      <c r="B5" s="290" t="s">
        <v>72</v>
      </c>
      <c r="C5" s="290" t="s">
        <v>79</v>
      </c>
      <c r="D5" s="270" t="s">
        <v>74</v>
      </c>
      <c r="E5" s="269" t="s">
        <v>75</v>
      </c>
      <c r="F5" s="269" t="s">
        <v>76</v>
      </c>
      <c r="G5" s="269" t="s">
        <v>77</v>
      </c>
      <c r="H5" s="269" t="s">
        <v>86</v>
      </c>
      <c r="I5" s="269" t="s">
        <v>78</v>
      </c>
      <c r="J5" s="269" t="s">
        <v>840</v>
      </c>
      <c r="K5" s="269" t="s">
        <v>534</v>
      </c>
      <c r="L5" s="269" t="s">
        <v>805</v>
      </c>
      <c r="M5" s="269" t="s">
        <v>80</v>
      </c>
      <c r="N5" s="270" t="s">
        <v>81</v>
      </c>
      <c r="O5" s="300" t="s">
        <v>73</v>
      </c>
      <c r="P5" s="300"/>
      <c r="Q5" s="300"/>
    </row>
    <row r="6" spans="1:17" ht="43.5" hidden="1" customHeight="1" x14ac:dyDescent="0.3">
      <c r="A6" s="289"/>
      <c r="B6" s="291"/>
      <c r="C6" s="291"/>
      <c r="D6" s="275"/>
      <c r="E6" s="270"/>
      <c r="F6" s="270"/>
      <c r="G6" s="270"/>
      <c r="H6" s="270"/>
      <c r="I6" s="270"/>
      <c r="J6" s="270"/>
      <c r="K6" s="270"/>
      <c r="L6" s="270"/>
      <c r="M6" s="270"/>
      <c r="N6" s="275"/>
      <c r="O6" s="301"/>
      <c r="P6" s="302"/>
      <c r="Q6" s="302"/>
    </row>
    <row r="7" spans="1:17" hidden="1" x14ac:dyDescent="0.3">
      <c r="A7" s="61">
        <v>43137</v>
      </c>
      <c r="B7" s="33" t="s">
        <v>1</v>
      </c>
      <c r="C7" s="1" t="s">
        <v>0</v>
      </c>
      <c r="D7" s="9">
        <v>1</v>
      </c>
      <c r="E7" s="56">
        <v>92.122</v>
      </c>
      <c r="F7" s="56">
        <f>+E7*0.1*14.01/(D7*10)</f>
        <v>12.906292200000001</v>
      </c>
      <c r="G7" s="3">
        <v>6.25</v>
      </c>
      <c r="H7" s="3" t="s">
        <v>10</v>
      </c>
      <c r="I7" s="56">
        <f t="shared" ref="I7:I12" si="0">+F7*G7</f>
        <v>80.664326250000002</v>
      </c>
      <c r="J7" s="101" t="s">
        <v>10</v>
      </c>
      <c r="K7" s="101" t="s">
        <v>10</v>
      </c>
      <c r="L7" s="101" t="s">
        <v>10</v>
      </c>
      <c r="M7" s="65" t="s">
        <v>14</v>
      </c>
      <c r="N7" s="3" t="s">
        <v>15</v>
      </c>
      <c r="O7" s="202" t="s">
        <v>10</v>
      </c>
      <c r="P7" s="202"/>
      <c r="Q7" s="202"/>
    </row>
    <row r="8" spans="1:17" hidden="1" x14ac:dyDescent="0.3">
      <c r="A8" s="61">
        <v>43137</v>
      </c>
      <c r="B8" s="33" t="s">
        <v>1</v>
      </c>
      <c r="C8" s="1" t="s">
        <v>0</v>
      </c>
      <c r="D8" s="9">
        <v>1.0001</v>
      </c>
      <c r="E8" s="56">
        <v>91.95</v>
      </c>
      <c r="F8" s="56">
        <f t="shared" ref="F8:F56" si="1">+E8*0.1*14.01/(D8*10)</f>
        <v>12.880906909309072</v>
      </c>
      <c r="G8" s="3">
        <v>6.25</v>
      </c>
      <c r="H8" s="3" t="s">
        <v>10</v>
      </c>
      <c r="I8" s="56">
        <f t="shared" si="0"/>
        <v>80.505668183181697</v>
      </c>
      <c r="J8" s="101" t="s">
        <v>10</v>
      </c>
      <c r="K8" s="101" t="s">
        <v>10</v>
      </c>
      <c r="L8" s="101" t="s">
        <v>10</v>
      </c>
      <c r="M8" s="65" t="s">
        <v>14</v>
      </c>
      <c r="N8" s="3" t="s">
        <v>15</v>
      </c>
      <c r="O8" s="202" t="s">
        <v>10</v>
      </c>
      <c r="P8" s="202"/>
      <c r="Q8" s="202"/>
    </row>
    <row r="9" spans="1:17" hidden="1" x14ac:dyDescent="0.3">
      <c r="A9" s="61">
        <v>43137</v>
      </c>
      <c r="B9" s="33" t="s">
        <v>1</v>
      </c>
      <c r="C9" s="1" t="s">
        <v>0</v>
      </c>
      <c r="D9" s="9">
        <v>1.0001</v>
      </c>
      <c r="E9" s="56">
        <v>92.186000000000007</v>
      </c>
      <c r="F9" s="56">
        <f t="shared" si="1"/>
        <v>12.913967203279674</v>
      </c>
      <c r="G9" s="3">
        <v>6.25</v>
      </c>
      <c r="H9" s="3" t="s">
        <v>10</v>
      </c>
      <c r="I9" s="56">
        <f t="shared" si="0"/>
        <v>80.712295020497962</v>
      </c>
      <c r="J9" s="101" t="s">
        <v>10</v>
      </c>
      <c r="K9" s="101" t="s">
        <v>10</v>
      </c>
      <c r="L9" s="101" t="s">
        <v>10</v>
      </c>
      <c r="M9" s="65" t="s">
        <v>14</v>
      </c>
      <c r="N9" s="3" t="s">
        <v>15</v>
      </c>
      <c r="O9" s="202" t="s">
        <v>10</v>
      </c>
      <c r="P9" s="202"/>
      <c r="Q9" s="202"/>
    </row>
    <row r="10" spans="1:17" hidden="1" x14ac:dyDescent="0.3">
      <c r="A10" s="61">
        <v>43137</v>
      </c>
      <c r="B10" s="33" t="s">
        <v>5</v>
      </c>
      <c r="C10" s="1" t="s">
        <v>4</v>
      </c>
      <c r="D10" s="9">
        <v>1.0002</v>
      </c>
      <c r="E10" s="56">
        <v>7.806</v>
      </c>
      <c r="F10" s="56">
        <f t="shared" si="1"/>
        <v>1.0934019196160769</v>
      </c>
      <c r="G10" s="3">
        <v>6.25</v>
      </c>
      <c r="H10" s="3" t="s">
        <v>10</v>
      </c>
      <c r="I10" s="56">
        <f t="shared" si="0"/>
        <v>6.8337619976004804</v>
      </c>
      <c r="J10" s="101" t="s">
        <v>10</v>
      </c>
      <c r="K10" s="101" t="s">
        <v>10</v>
      </c>
      <c r="L10" s="101" t="s">
        <v>10</v>
      </c>
      <c r="M10" s="3" t="s">
        <v>14</v>
      </c>
      <c r="N10" s="3" t="s">
        <v>15</v>
      </c>
      <c r="O10" s="202" t="s">
        <v>10</v>
      </c>
      <c r="P10" s="202"/>
      <c r="Q10" s="202"/>
    </row>
    <row r="11" spans="1:17" hidden="1" x14ac:dyDescent="0.3">
      <c r="A11" s="61">
        <v>43137</v>
      </c>
      <c r="B11" s="33" t="s">
        <v>5</v>
      </c>
      <c r="C11" s="1" t="s">
        <v>4</v>
      </c>
      <c r="D11" s="9">
        <v>1.0005999999999999</v>
      </c>
      <c r="E11" s="56">
        <v>7.758</v>
      </c>
      <c r="F11" s="56">
        <f t="shared" si="1"/>
        <v>1.0862440535678595</v>
      </c>
      <c r="G11" s="3">
        <v>6.25</v>
      </c>
      <c r="H11" s="3" t="s">
        <v>10</v>
      </c>
      <c r="I11" s="56">
        <f t="shared" si="0"/>
        <v>6.7890253347991214</v>
      </c>
      <c r="J11" s="101" t="s">
        <v>10</v>
      </c>
      <c r="K11" s="101" t="s">
        <v>10</v>
      </c>
      <c r="L11" s="101" t="s">
        <v>10</v>
      </c>
      <c r="M11" s="3" t="s">
        <v>14</v>
      </c>
      <c r="N11" s="3" t="s">
        <v>15</v>
      </c>
      <c r="O11" s="202" t="s">
        <v>10</v>
      </c>
      <c r="P11" s="202"/>
      <c r="Q11" s="202"/>
    </row>
    <row r="12" spans="1:17" hidden="1" x14ac:dyDescent="0.3">
      <c r="A12" s="61">
        <v>43137</v>
      </c>
      <c r="B12" s="33" t="s">
        <v>5</v>
      </c>
      <c r="C12" s="1" t="s">
        <v>4</v>
      </c>
      <c r="D12" s="9">
        <v>1.0004</v>
      </c>
      <c r="E12" s="56">
        <v>7.7610000000000001</v>
      </c>
      <c r="F12" s="56">
        <f t="shared" si="1"/>
        <v>1.0868813474610155</v>
      </c>
      <c r="G12" s="3">
        <v>6.25</v>
      </c>
      <c r="H12" s="3" t="s">
        <v>10</v>
      </c>
      <c r="I12" s="56">
        <f t="shared" si="0"/>
        <v>6.7930084216313471</v>
      </c>
      <c r="J12" s="101" t="s">
        <v>10</v>
      </c>
      <c r="K12" s="101" t="s">
        <v>10</v>
      </c>
      <c r="L12" s="101" t="s">
        <v>10</v>
      </c>
      <c r="M12" s="3" t="s">
        <v>14</v>
      </c>
      <c r="N12" s="3" t="s">
        <v>15</v>
      </c>
      <c r="O12" s="202" t="s">
        <v>10</v>
      </c>
      <c r="P12" s="202"/>
      <c r="Q12" s="202"/>
    </row>
    <row r="13" spans="1:17" hidden="1" x14ac:dyDescent="0.3">
      <c r="A13" s="61">
        <v>43144</v>
      </c>
      <c r="B13" s="3" t="s">
        <v>82</v>
      </c>
      <c r="C13" s="2" t="s">
        <v>84</v>
      </c>
      <c r="D13" s="9">
        <v>0.13769999999999999</v>
      </c>
      <c r="E13" s="15">
        <v>19.044</v>
      </c>
      <c r="F13" s="63">
        <f t="shared" si="1"/>
        <v>19.375921568627454</v>
      </c>
      <c r="G13" s="3">
        <v>6.25</v>
      </c>
      <c r="H13" s="15">
        <v>96.27</v>
      </c>
      <c r="I13" s="56">
        <f t="shared" ref="I13:I44" si="2">+F13*G13*((100-H13)/100)</f>
        <v>4.5170117156862801</v>
      </c>
      <c r="J13" s="101" t="s">
        <v>10</v>
      </c>
      <c r="K13" s="101" t="s">
        <v>10</v>
      </c>
      <c r="L13" s="101" t="s">
        <v>10</v>
      </c>
      <c r="M13" s="15" t="s">
        <v>15</v>
      </c>
      <c r="N13" s="15" t="s">
        <v>15</v>
      </c>
      <c r="O13" s="202" t="s">
        <v>10</v>
      </c>
      <c r="P13" s="202"/>
      <c r="Q13" s="202"/>
    </row>
    <row r="14" spans="1:17" hidden="1" x14ac:dyDescent="0.3">
      <c r="A14" s="61">
        <v>43144</v>
      </c>
      <c r="B14" s="3" t="s">
        <v>83</v>
      </c>
      <c r="C14" s="2" t="s">
        <v>85</v>
      </c>
      <c r="D14" s="9">
        <v>0.1389</v>
      </c>
      <c r="E14" s="15">
        <v>18.882000000000001</v>
      </c>
      <c r="F14" s="63">
        <f t="shared" si="1"/>
        <v>19.045127429805618</v>
      </c>
      <c r="G14" s="3">
        <v>6.25</v>
      </c>
      <c r="H14" s="15">
        <v>96.27</v>
      </c>
      <c r="I14" s="56">
        <f t="shared" si="2"/>
        <v>4.4398953320734398</v>
      </c>
      <c r="J14" s="101" t="s">
        <v>10</v>
      </c>
      <c r="K14" s="101" t="s">
        <v>10</v>
      </c>
      <c r="L14" s="101" t="s">
        <v>10</v>
      </c>
      <c r="M14" s="15" t="s">
        <v>15</v>
      </c>
      <c r="N14" s="15" t="s">
        <v>15</v>
      </c>
      <c r="O14" s="202" t="s">
        <v>10</v>
      </c>
      <c r="P14" s="202"/>
      <c r="Q14" s="202"/>
    </row>
    <row r="15" spans="1:17" ht="16.5" hidden="1" customHeight="1" x14ac:dyDescent="0.3">
      <c r="A15" s="67">
        <v>43151</v>
      </c>
      <c r="B15" s="33" t="s">
        <v>107</v>
      </c>
      <c r="C15" s="1" t="s">
        <v>108</v>
      </c>
      <c r="D15" s="9">
        <v>1.0004999999999999</v>
      </c>
      <c r="E15" s="56">
        <v>20.533999999999999</v>
      </c>
      <c r="F15" s="56">
        <f t="shared" si="1"/>
        <v>2.8753757121439278</v>
      </c>
      <c r="G15" s="3">
        <v>6.25</v>
      </c>
      <c r="H15" s="3">
        <v>0</v>
      </c>
      <c r="I15" s="56">
        <f t="shared" si="2"/>
        <v>17.971098200899547</v>
      </c>
      <c r="J15" s="101" t="s">
        <v>10</v>
      </c>
      <c r="K15" s="101" t="s">
        <v>10</v>
      </c>
      <c r="L15" s="101" t="s">
        <v>10</v>
      </c>
      <c r="M15" s="3" t="s">
        <v>14</v>
      </c>
      <c r="N15" s="3" t="s">
        <v>15</v>
      </c>
      <c r="O15" s="202" t="s">
        <v>10</v>
      </c>
      <c r="P15" s="202"/>
      <c r="Q15" s="202"/>
    </row>
    <row r="16" spans="1:17" hidden="1" x14ac:dyDescent="0.3">
      <c r="A16" s="61">
        <v>43160</v>
      </c>
      <c r="B16" s="27" t="s">
        <v>120</v>
      </c>
      <c r="C16" s="1" t="s">
        <v>122</v>
      </c>
      <c r="D16" s="9">
        <v>1.0001</v>
      </c>
      <c r="E16" s="56">
        <v>27.036000000000001</v>
      </c>
      <c r="F16" s="56">
        <f>+E16*0.1*14.01/((D16-(D16*'GRASA AOAC 920.39'!I33/100))*10)</f>
        <v>5.1189043007332655</v>
      </c>
      <c r="G16" s="3">
        <v>6.38</v>
      </c>
      <c r="H16" s="3">
        <v>0</v>
      </c>
      <c r="I16" s="56">
        <f t="shared" si="2"/>
        <v>32.658609438678234</v>
      </c>
      <c r="J16" s="101" t="s">
        <v>10</v>
      </c>
      <c r="K16" s="101" t="s">
        <v>10</v>
      </c>
      <c r="L16" s="101" t="s">
        <v>10</v>
      </c>
      <c r="M16" s="3" t="s">
        <v>14</v>
      </c>
      <c r="N16" s="3" t="s">
        <v>15</v>
      </c>
      <c r="O16" s="202" t="s">
        <v>371</v>
      </c>
      <c r="P16" s="202"/>
      <c r="Q16" s="202"/>
    </row>
    <row r="17" spans="1:17" hidden="1" x14ac:dyDescent="0.3">
      <c r="A17" s="61">
        <v>43160</v>
      </c>
      <c r="B17" s="27" t="s">
        <v>121</v>
      </c>
      <c r="C17" s="2" t="s">
        <v>123</v>
      </c>
      <c r="D17" s="9">
        <v>1.0004999999999999</v>
      </c>
      <c r="E17" s="56">
        <v>25.141999999999999</v>
      </c>
      <c r="F17" s="56">
        <f t="shared" si="1"/>
        <v>3.5206338830584714</v>
      </c>
      <c r="G17" s="3">
        <v>6.25</v>
      </c>
      <c r="H17" s="3">
        <v>0</v>
      </c>
      <c r="I17" s="56">
        <f t="shared" si="2"/>
        <v>22.003961769115445</v>
      </c>
      <c r="J17" s="101" t="s">
        <v>10</v>
      </c>
      <c r="K17" s="101" t="s">
        <v>10</v>
      </c>
      <c r="L17" s="101" t="s">
        <v>10</v>
      </c>
      <c r="M17" s="3" t="s">
        <v>14</v>
      </c>
      <c r="N17" s="3" t="s">
        <v>15</v>
      </c>
      <c r="O17" s="202" t="s">
        <v>10</v>
      </c>
      <c r="P17" s="202"/>
      <c r="Q17" s="202"/>
    </row>
    <row r="18" spans="1:17" hidden="1" x14ac:dyDescent="0.3">
      <c r="A18" s="61">
        <v>43160</v>
      </c>
      <c r="B18" s="3" t="s">
        <v>124</v>
      </c>
      <c r="C18" s="2" t="s">
        <v>125</v>
      </c>
      <c r="D18" s="9">
        <v>1.0001</v>
      </c>
      <c r="E18" s="56">
        <v>24.181999999999999</v>
      </c>
      <c r="F18" s="56">
        <f t="shared" si="1"/>
        <v>3.3875594440555945</v>
      </c>
      <c r="G18" s="3">
        <v>6.25</v>
      </c>
      <c r="H18" s="3">
        <v>0</v>
      </c>
      <c r="I18" s="56">
        <f t="shared" si="2"/>
        <v>21.172246525347465</v>
      </c>
      <c r="J18" s="101" t="s">
        <v>10</v>
      </c>
      <c r="K18" s="101" t="s">
        <v>10</v>
      </c>
      <c r="L18" s="101" t="s">
        <v>10</v>
      </c>
      <c r="M18" s="3" t="s">
        <v>14</v>
      </c>
      <c r="N18" s="3" t="s">
        <v>15</v>
      </c>
      <c r="O18" s="202" t="s">
        <v>10</v>
      </c>
      <c r="P18" s="202"/>
      <c r="Q18" s="202"/>
    </row>
    <row r="19" spans="1:17" hidden="1" x14ac:dyDescent="0.3">
      <c r="A19" s="61">
        <v>43164</v>
      </c>
      <c r="B19" s="3" t="s">
        <v>154</v>
      </c>
      <c r="C19" s="2" t="s">
        <v>155</v>
      </c>
      <c r="D19" s="9">
        <v>1.0001</v>
      </c>
      <c r="E19" s="56">
        <v>4.8049999999999997</v>
      </c>
      <c r="F19" s="56">
        <f t="shared" si="1"/>
        <v>0.6731131886811319</v>
      </c>
      <c r="G19" s="3">
        <v>6.25</v>
      </c>
      <c r="H19" s="3">
        <v>0</v>
      </c>
      <c r="I19" s="56">
        <f t="shared" si="2"/>
        <v>4.2069574292570744</v>
      </c>
      <c r="J19" s="101" t="s">
        <v>10</v>
      </c>
      <c r="K19" s="101" t="s">
        <v>10</v>
      </c>
      <c r="L19" s="101" t="s">
        <v>10</v>
      </c>
      <c r="M19" s="3" t="s">
        <v>14</v>
      </c>
      <c r="N19" s="3" t="s">
        <v>15</v>
      </c>
      <c r="O19" s="202" t="s">
        <v>10</v>
      </c>
      <c r="P19" s="202"/>
      <c r="Q19" s="202"/>
    </row>
    <row r="20" spans="1:17" hidden="1" x14ac:dyDescent="0.3">
      <c r="A20" s="61">
        <v>43167</v>
      </c>
      <c r="B20" s="3" t="s">
        <v>154</v>
      </c>
      <c r="C20" s="2" t="s">
        <v>155</v>
      </c>
      <c r="D20" s="9">
        <f>+'FIBRA DIETARIA KIT'!H8</f>
        <v>0.14650000000000318</v>
      </c>
      <c r="E20" s="66">
        <v>3.6619999999999999</v>
      </c>
      <c r="F20" s="56">
        <f t="shared" si="1"/>
        <v>3.5020218430033374</v>
      </c>
      <c r="G20" s="3">
        <v>6.25</v>
      </c>
      <c r="H20" s="3">
        <v>0</v>
      </c>
      <c r="I20" s="56">
        <f t="shared" si="2"/>
        <v>21.887636518770858</v>
      </c>
      <c r="J20" s="101" t="s">
        <v>10</v>
      </c>
      <c r="K20" s="101" t="s">
        <v>10</v>
      </c>
      <c r="L20" s="101" t="s">
        <v>10</v>
      </c>
      <c r="M20" s="3" t="s">
        <v>14</v>
      </c>
      <c r="N20" s="3" t="s">
        <v>15</v>
      </c>
      <c r="O20" s="202" t="s">
        <v>67</v>
      </c>
      <c r="P20" s="202"/>
      <c r="Q20" s="202"/>
    </row>
    <row r="21" spans="1:17" hidden="1" x14ac:dyDescent="0.3">
      <c r="A21" s="61">
        <v>43162</v>
      </c>
      <c r="B21" s="3" t="s">
        <v>242</v>
      </c>
      <c r="C21" s="2" t="s">
        <v>243</v>
      </c>
      <c r="D21" s="9">
        <v>1.0008999999999999</v>
      </c>
      <c r="E21" s="56">
        <v>0.82199999999999995</v>
      </c>
      <c r="F21" s="56">
        <f t="shared" si="1"/>
        <v>0.11505864721750425</v>
      </c>
      <c r="G21" s="3">
        <v>6.25</v>
      </c>
      <c r="H21" s="56" t="e">
        <f>+#REF!</f>
        <v>#REF!</v>
      </c>
      <c r="I21" s="56" t="e">
        <f t="shared" si="2"/>
        <v>#REF!</v>
      </c>
      <c r="J21" s="101" t="s">
        <v>10</v>
      </c>
      <c r="K21" s="101" t="s">
        <v>10</v>
      </c>
      <c r="L21" s="101" t="s">
        <v>10</v>
      </c>
      <c r="M21" s="3" t="s">
        <v>14</v>
      </c>
      <c r="N21" s="3" t="s">
        <v>15</v>
      </c>
      <c r="O21" s="202" t="s">
        <v>10</v>
      </c>
      <c r="P21" s="202"/>
      <c r="Q21" s="202"/>
    </row>
    <row r="22" spans="1:17" hidden="1" x14ac:dyDescent="0.3">
      <c r="A22" s="61">
        <v>43134</v>
      </c>
      <c r="B22" s="3" t="s">
        <v>249</v>
      </c>
      <c r="C22" s="2" t="s">
        <v>247</v>
      </c>
      <c r="D22" s="9">
        <v>1.0002</v>
      </c>
      <c r="E22" s="56">
        <v>5.1539999999999999</v>
      </c>
      <c r="F22" s="56">
        <f>+E22*0.1*14.01/(D22*10)</f>
        <v>0.72193101379724056</v>
      </c>
      <c r="G22" s="3">
        <v>6.25</v>
      </c>
      <c r="H22" s="3">
        <v>0</v>
      </c>
      <c r="I22" s="56">
        <f t="shared" si="2"/>
        <v>4.5120688362327535</v>
      </c>
      <c r="J22" s="101" t="s">
        <v>10</v>
      </c>
      <c r="K22" s="101" t="s">
        <v>10</v>
      </c>
      <c r="L22" s="101" t="s">
        <v>10</v>
      </c>
      <c r="M22" s="3" t="s">
        <v>14</v>
      </c>
      <c r="N22" s="3" t="s">
        <v>15</v>
      </c>
      <c r="O22" s="202" t="s">
        <v>10</v>
      </c>
      <c r="P22" s="202"/>
      <c r="Q22" s="202"/>
    </row>
    <row r="23" spans="1:17" hidden="1" x14ac:dyDescent="0.3">
      <c r="A23" s="61">
        <v>43134</v>
      </c>
      <c r="B23" s="3" t="s">
        <v>250</v>
      </c>
      <c r="C23" s="2" t="s">
        <v>248</v>
      </c>
      <c r="D23" s="9">
        <v>1.0004</v>
      </c>
      <c r="E23" s="56">
        <v>5.2480000000000002</v>
      </c>
      <c r="F23" s="56">
        <f>+E23*0.1*14.01/(D23*10)</f>
        <v>0.73495081967213127</v>
      </c>
      <c r="G23" s="3">
        <v>6.25</v>
      </c>
      <c r="H23" s="3">
        <v>0</v>
      </c>
      <c r="I23" s="56">
        <f t="shared" si="2"/>
        <v>4.5934426229508203</v>
      </c>
      <c r="J23" s="101" t="s">
        <v>10</v>
      </c>
      <c r="K23" s="101" t="s">
        <v>10</v>
      </c>
      <c r="L23" s="101" t="s">
        <v>10</v>
      </c>
      <c r="M23" s="3" t="s">
        <v>14</v>
      </c>
      <c r="N23" s="3" t="s">
        <v>15</v>
      </c>
      <c r="O23" s="202" t="s">
        <v>10</v>
      </c>
      <c r="P23" s="202"/>
      <c r="Q23" s="202"/>
    </row>
    <row r="24" spans="1:17" hidden="1" x14ac:dyDescent="0.3">
      <c r="A24" s="61">
        <v>43134</v>
      </c>
      <c r="B24" s="3" t="s">
        <v>116</v>
      </c>
      <c r="C24" s="2" t="s">
        <v>117</v>
      </c>
      <c r="D24" s="9">
        <v>1.0001</v>
      </c>
      <c r="E24" s="56">
        <v>5.125</v>
      </c>
      <c r="F24" s="56">
        <f t="shared" si="1"/>
        <v>0.71794070592940717</v>
      </c>
      <c r="G24" s="3">
        <v>6.25</v>
      </c>
      <c r="H24" s="3">
        <v>0</v>
      </c>
      <c r="I24" s="56">
        <f t="shared" si="2"/>
        <v>4.4871294120587946</v>
      </c>
      <c r="J24" s="101" t="s">
        <v>10</v>
      </c>
      <c r="K24" s="101" t="s">
        <v>10</v>
      </c>
      <c r="L24" s="101" t="s">
        <v>10</v>
      </c>
      <c r="M24" s="3" t="s">
        <v>14</v>
      </c>
      <c r="N24" s="3" t="s">
        <v>15</v>
      </c>
      <c r="O24" s="202" t="s">
        <v>10</v>
      </c>
      <c r="P24" s="202"/>
      <c r="Q24" s="202"/>
    </row>
    <row r="25" spans="1:17" hidden="1" x14ac:dyDescent="0.3">
      <c r="A25" s="61">
        <v>43134</v>
      </c>
      <c r="B25" s="3" t="s">
        <v>119</v>
      </c>
      <c r="C25" s="2" t="s">
        <v>118</v>
      </c>
      <c r="D25" s="9">
        <v>1</v>
      </c>
      <c r="E25" s="56">
        <v>5.2320000000000002</v>
      </c>
      <c r="F25" s="56">
        <f t="shared" si="1"/>
        <v>0.73300319999999997</v>
      </c>
      <c r="G25" s="3">
        <v>6.25</v>
      </c>
      <c r="H25" s="3">
        <v>0</v>
      </c>
      <c r="I25" s="56">
        <f t="shared" si="2"/>
        <v>4.58127</v>
      </c>
      <c r="J25" s="101" t="s">
        <v>10</v>
      </c>
      <c r="K25" s="101" t="s">
        <v>10</v>
      </c>
      <c r="L25" s="101" t="s">
        <v>10</v>
      </c>
      <c r="M25" s="3" t="s">
        <v>14</v>
      </c>
      <c r="N25" s="3" t="s">
        <v>15</v>
      </c>
      <c r="O25" s="202" t="s">
        <v>10</v>
      </c>
      <c r="P25" s="202"/>
      <c r="Q25" s="202"/>
    </row>
    <row r="26" spans="1:17" hidden="1" x14ac:dyDescent="0.3">
      <c r="A26" s="61">
        <v>43171</v>
      </c>
      <c r="B26" s="3" t="s">
        <v>220</v>
      </c>
      <c r="C26" s="2" t="s">
        <v>219</v>
      </c>
      <c r="D26" s="9">
        <v>1.0008999999999999</v>
      </c>
      <c r="E26" s="56">
        <v>0.7</v>
      </c>
      <c r="F26" s="56">
        <f t="shared" si="1"/>
        <v>9.7981816365271257E-2</v>
      </c>
      <c r="G26" s="3">
        <v>6.25</v>
      </c>
      <c r="H26" s="3">
        <v>0</v>
      </c>
      <c r="I26" s="56">
        <f t="shared" si="2"/>
        <v>0.61238635228294536</v>
      </c>
      <c r="J26" s="101" t="s">
        <v>10</v>
      </c>
      <c r="K26" s="101" t="s">
        <v>10</v>
      </c>
      <c r="L26" s="101" t="s">
        <v>10</v>
      </c>
      <c r="M26" s="3" t="s">
        <v>14</v>
      </c>
      <c r="N26" s="3" t="s">
        <v>15</v>
      </c>
      <c r="O26" s="202" t="s">
        <v>10</v>
      </c>
      <c r="P26" s="202"/>
      <c r="Q26" s="202"/>
    </row>
    <row r="27" spans="1:17" hidden="1" x14ac:dyDescent="0.3">
      <c r="A27" s="61">
        <v>43171</v>
      </c>
      <c r="B27" s="3" t="s">
        <v>260</v>
      </c>
      <c r="C27" s="2" t="s">
        <v>261</v>
      </c>
      <c r="D27" s="9">
        <v>1.0007999999999999</v>
      </c>
      <c r="E27" s="56">
        <v>0.42599999999999999</v>
      </c>
      <c r="F27" s="56">
        <f t="shared" si="1"/>
        <v>5.9634892086330937E-2</v>
      </c>
      <c r="G27" s="3">
        <v>6.25</v>
      </c>
      <c r="H27" s="3">
        <v>0</v>
      </c>
      <c r="I27" s="56">
        <f t="shared" si="2"/>
        <v>0.37271807553956837</v>
      </c>
      <c r="J27" s="101" t="s">
        <v>10</v>
      </c>
      <c r="K27" s="101" t="s">
        <v>10</v>
      </c>
      <c r="L27" s="101" t="s">
        <v>10</v>
      </c>
      <c r="M27" s="3" t="s">
        <v>14</v>
      </c>
      <c r="N27" s="3" t="s">
        <v>15</v>
      </c>
      <c r="O27" s="202" t="s">
        <v>10</v>
      </c>
      <c r="P27" s="202"/>
      <c r="Q27" s="202"/>
    </row>
    <row r="28" spans="1:17" hidden="1" x14ac:dyDescent="0.3">
      <c r="A28" s="61">
        <v>43171</v>
      </c>
      <c r="B28" s="3" t="s">
        <v>258</v>
      </c>
      <c r="C28" s="2" t="s">
        <v>259</v>
      </c>
      <c r="D28" s="9">
        <v>1.0002</v>
      </c>
      <c r="E28" s="56">
        <v>6.0460000000000003</v>
      </c>
      <c r="F28" s="56">
        <f t="shared" si="1"/>
        <v>0.84687522495500922</v>
      </c>
      <c r="G28" s="3">
        <v>6.25</v>
      </c>
      <c r="H28" s="3">
        <v>0</v>
      </c>
      <c r="I28" s="56">
        <f t="shared" si="2"/>
        <v>5.292970155968808</v>
      </c>
      <c r="J28" s="101" t="s">
        <v>10</v>
      </c>
      <c r="K28" s="101" t="s">
        <v>10</v>
      </c>
      <c r="L28" s="101" t="s">
        <v>10</v>
      </c>
      <c r="M28" s="3" t="s">
        <v>14</v>
      </c>
      <c r="N28" s="3" t="s">
        <v>15</v>
      </c>
      <c r="O28" s="202" t="s">
        <v>10</v>
      </c>
      <c r="P28" s="202"/>
      <c r="Q28" s="202"/>
    </row>
    <row r="29" spans="1:17" hidden="1" x14ac:dyDescent="0.3">
      <c r="A29" s="61">
        <v>43171</v>
      </c>
      <c r="B29" s="3" t="s">
        <v>268</v>
      </c>
      <c r="C29" s="2" t="s">
        <v>267</v>
      </c>
      <c r="D29" s="9">
        <v>1.0008999999999999</v>
      </c>
      <c r="E29" s="56">
        <v>4.9160000000000004</v>
      </c>
      <c r="F29" s="56">
        <f t="shared" si="1"/>
        <v>0.68811229893096226</v>
      </c>
      <c r="G29" s="3">
        <v>6.25</v>
      </c>
      <c r="H29" s="3">
        <v>0</v>
      </c>
      <c r="I29" s="56">
        <f t="shared" si="2"/>
        <v>4.3007018683185141</v>
      </c>
      <c r="J29" s="101" t="s">
        <v>10</v>
      </c>
      <c r="K29" s="101" t="s">
        <v>10</v>
      </c>
      <c r="L29" s="101" t="s">
        <v>10</v>
      </c>
      <c r="M29" s="3" t="s">
        <v>14</v>
      </c>
      <c r="N29" s="3" t="s">
        <v>15</v>
      </c>
      <c r="O29" s="202" t="s">
        <v>10</v>
      </c>
      <c r="P29" s="202"/>
      <c r="Q29" s="202"/>
    </row>
    <row r="30" spans="1:17" hidden="1" x14ac:dyDescent="0.3">
      <c r="A30" s="61">
        <v>43171</v>
      </c>
      <c r="B30" s="3" t="s">
        <v>265</v>
      </c>
      <c r="C30" s="2" t="s">
        <v>275</v>
      </c>
      <c r="D30" s="9">
        <f>+'FIBRA DIETARIA KIT'!H10</f>
        <v>0.19210000000000349</v>
      </c>
      <c r="E30" s="56">
        <v>4.6500000000000004</v>
      </c>
      <c r="F30" s="56">
        <f t="shared" si="1"/>
        <v>3.3912805830296113</v>
      </c>
      <c r="G30" s="3">
        <v>6.25</v>
      </c>
      <c r="H30" s="3">
        <v>0</v>
      </c>
      <c r="I30" s="56">
        <f t="shared" si="2"/>
        <v>21.195503643935069</v>
      </c>
      <c r="J30" s="101" t="s">
        <v>10</v>
      </c>
      <c r="K30" s="101" t="s">
        <v>10</v>
      </c>
      <c r="L30" s="101" t="s">
        <v>10</v>
      </c>
      <c r="M30" s="3" t="s">
        <v>14</v>
      </c>
      <c r="N30" s="3" t="s">
        <v>15</v>
      </c>
      <c r="O30" s="202" t="s">
        <v>10</v>
      </c>
      <c r="P30" s="202"/>
      <c r="Q30" s="202"/>
    </row>
    <row r="31" spans="1:17" hidden="1" x14ac:dyDescent="0.3">
      <c r="A31" s="61">
        <v>43156</v>
      </c>
      <c r="B31" s="15" t="s">
        <v>251</v>
      </c>
      <c r="C31" s="19" t="s">
        <v>255</v>
      </c>
      <c r="D31" s="9">
        <v>1</v>
      </c>
      <c r="E31" s="56">
        <v>3.6379999999999999</v>
      </c>
      <c r="F31" s="56">
        <f t="shared" si="1"/>
        <v>0.50968380000000002</v>
      </c>
      <c r="G31" s="3">
        <v>6.25</v>
      </c>
      <c r="H31" s="3">
        <v>0</v>
      </c>
      <c r="I31" s="56">
        <f t="shared" si="2"/>
        <v>3.1855237500000002</v>
      </c>
      <c r="J31" s="101" t="s">
        <v>10</v>
      </c>
      <c r="K31" s="101" t="s">
        <v>10</v>
      </c>
      <c r="L31" s="101" t="s">
        <v>10</v>
      </c>
      <c r="M31" s="3" t="s">
        <v>14</v>
      </c>
      <c r="N31" s="3" t="s">
        <v>15</v>
      </c>
      <c r="O31" s="202" t="s">
        <v>10</v>
      </c>
      <c r="P31" s="202"/>
      <c r="Q31" s="202"/>
    </row>
    <row r="32" spans="1:17" hidden="1" x14ac:dyDescent="0.3">
      <c r="A32" s="61">
        <v>43156</v>
      </c>
      <c r="B32" s="15" t="s">
        <v>254</v>
      </c>
      <c r="C32" s="19" t="s">
        <v>271</v>
      </c>
      <c r="D32" s="9">
        <v>1.0005999999999999</v>
      </c>
      <c r="E32" s="56">
        <v>21.436</v>
      </c>
      <c r="F32" s="56">
        <f t="shared" si="1"/>
        <v>3.0013827703377975</v>
      </c>
      <c r="G32" s="3">
        <v>6.25</v>
      </c>
      <c r="H32" s="3">
        <v>0</v>
      </c>
      <c r="I32" s="56">
        <f t="shared" si="2"/>
        <v>18.758642314611233</v>
      </c>
      <c r="J32" s="101" t="s">
        <v>10</v>
      </c>
      <c r="K32" s="101" t="s">
        <v>10</v>
      </c>
      <c r="L32" s="101" t="s">
        <v>10</v>
      </c>
      <c r="M32" s="3" t="s">
        <v>14</v>
      </c>
      <c r="N32" s="3" t="s">
        <v>15</v>
      </c>
      <c r="O32" s="202" t="s">
        <v>10</v>
      </c>
      <c r="P32" s="202"/>
      <c r="Q32" s="202"/>
    </row>
    <row r="33" spans="1:17" hidden="1" x14ac:dyDescent="0.3">
      <c r="A33" s="61">
        <v>43156</v>
      </c>
      <c r="B33" s="15" t="s">
        <v>273</v>
      </c>
      <c r="C33" s="19" t="s">
        <v>272</v>
      </c>
      <c r="D33" s="9">
        <v>1.0008999999999999</v>
      </c>
      <c r="E33" s="56">
        <v>1.444</v>
      </c>
      <c r="F33" s="56">
        <f t="shared" si="1"/>
        <v>0.20212248975921673</v>
      </c>
      <c r="G33" s="3">
        <v>6.25</v>
      </c>
      <c r="H33" s="3">
        <v>0</v>
      </c>
      <c r="I33" s="56">
        <f t="shared" si="2"/>
        <v>1.2632655609951047</v>
      </c>
      <c r="J33" s="101" t="s">
        <v>10</v>
      </c>
      <c r="K33" s="101" t="s">
        <v>10</v>
      </c>
      <c r="L33" s="101" t="s">
        <v>10</v>
      </c>
      <c r="M33" s="3" t="s">
        <v>14</v>
      </c>
      <c r="N33" s="3" t="s">
        <v>15</v>
      </c>
      <c r="O33" s="202" t="s">
        <v>10</v>
      </c>
      <c r="P33" s="202"/>
      <c r="Q33" s="202"/>
    </row>
    <row r="34" spans="1:17" hidden="1" x14ac:dyDescent="0.3">
      <c r="A34" s="61">
        <v>43156</v>
      </c>
      <c r="B34" s="15" t="s">
        <v>252</v>
      </c>
      <c r="C34" s="19" t="s">
        <v>256</v>
      </c>
      <c r="D34" s="9">
        <v>1.0008999999999999</v>
      </c>
      <c r="E34" s="56">
        <v>0.28199999999999997</v>
      </c>
      <c r="F34" s="56">
        <f t="shared" si="1"/>
        <v>3.9472674592866422E-2</v>
      </c>
      <c r="G34" s="3">
        <v>6.25</v>
      </c>
      <c r="H34" s="3">
        <v>0</v>
      </c>
      <c r="I34" s="56">
        <f t="shared" si="2"/>
        <v>0.24670421620541513</v>
      </c>
      <c r="J34" s="101" t="s">
        <v>10</v>
      </c>
      <c r="K34" s="101" t="s">
        <v>10</v>
      </c>
      <c r="L34" s="101" t="s">
        <v>10</v>
      </c>
      <c r="M34" s="3" t="s">
        <v>14</v>
      </c>
      <c r="N34" s="3" t="s">
        <v>15</v>
      </c>
      <c r="O34" s="202" t="s">
        <v>10</v>
      </c>
      <c r="P34" s="202"/>
      <c r="Q34" s="202"/>
    </row>
    <row r="35" spans="1:17" hidden="1" x14ac:dyDescent="0.3">
      <c r="A35" s="61">
        <v>43156</v>
      </c>
      <c r="B35" s="15" t="s">
        <v>262</v>
      </c>
      <c r="C35" s="19" t="s">
        <v>274</v>
      </c>
      <c r="D35" s="9">
        <v>1</v>
      </c>
      <c r="E35" s="56">
        <v>13.542999999999999</v>
      </c>
      <c r="F35" s="56">
        <f t="shared" si="1"/>
        <v>1.8973742999999998</v>
      </c>
      <c r="G35" s="3">
        <v>6.25</v>
      </c>
      <c r="H35" s="3">
        <v>0</v>
      </c>
      <c r="I35" s="56">
        <f t="shared" si="2"/>
        <v>11.858589374999999</v>
      </c>
      <c r="J35" s="101" t="s">
        <v>10</v>
      </c>
      <c r="K35" s="101" t="s">
        <v>10</v>
      </c>
      <c r="L35" s="101" t="s">
        <v>10</v>
      </c>
      <c r="M35" s="3" t="s">
        <v>14</v>
      </c>
      <c r="N35" s="3" t="s">
        <v>15</v>
      </c>
      <c r="O35" s="202" t="s">
        <v>10</v>
      </c>
      <c r="P35" s="202"/>
      <c r="Q35" s="202"/>
    </row>
    <row r="36" spans="1:17" hidden="1" x14ac:dyDescent="0.3">
      <c r="A36" s="61">
        <v>43156</v>
      </c>
      <c r="B36" s="15" t="s">
        <v>264</v>
      </c>
      <c r="C36" s="19" t="s">
        <v>263</v>
      </c>
      <c r="D36" s="9">
        <v>1</v>
      </c>
      <c r="E36" s="56">
        <v>0.94599999999999995</v>
      </c>
      <c r="F36" s="56">
        <f t="shared" si="1"/>
        <v>0.1325346</v>
      </c>
      <c r="G36" s="3">
        <v>6.25</v>
      </c>
      <c r="H36" s="3">
        <v>0</v>
      </c>
      <c r="I36" s="56">
        <f t="shared" si="2"/>
        <v>0.82834125000000003</v>
      </c>
      <c r="J36" s="101" t="s">
        <v>10</v>
      </c>
      <c r="K36" s="101" t="s">
        <v>10</v>
      </c>
      <c r="L36" s="101" t="s">
        <v>10</v>
      </c>
      <c r="M36" s="3" t="s">
        <v>14</v>
      </c>
      <c r="N36" s="3" t="s">
        <v>15</v>
      </c>
      <c r="O36" s="202" t="s">
        <v>10</v>
      </c>
      <c r="P36" s="202"/>
      <c r="Q36" s="202"/>
    </row>
    <row r="37" spans="1:17" hidden="1" x14ac:dyDescent="0.3">
      <c r="A37" s="61">
        <v>43156</v>
      </c>
      <c r="B37" s="15" t="s">
        <v>253</v>
      </c>
      <c r="C37" s="19" t="s">
        <v>257</v>
      </c>
      <c r="D37" s="9">
        <v>1</v>
      </c>
      <c r="E37" s="56">
        <v>0.64900000000000002</v>
      </c>
      <c r="F37" s="56">
        <f t="shared" si="1"/>
        <v>9.0924900000000003E-2</v>
      </c>
      <c r="G37" s="3">
        <v>6.25</v>
      </c>
      <c r="H37" s="3">
        <v>0</v>
      </c>
      <c r="I37" s="56">
        <f t="shared" si="2"/>
        <v>0.56828062499999998</v>
      </c>
      <c r="J37" s="101" t="s">
        <v>10</v>
      </c>
      <c r="K37" s="101" t="s">
        <v>10</v>
      </c>
      <c r="L37" s="101" t="s">
        <v>10</v>
      </c>
      <c r="M37" s="3" t="s">
        <v>14</v>
      </c>
      <c r="N37" s="3" t="s">
        <v>15</v>
      </c>
      <c r="O37" s="202" t="s">
        <v>10</v>
      </c>
      <c r="P37" s="202"/>
      <c r="Q37" s="202"/>
    </row>
    <row r="38" spans="1:17" hidden="1" x14ac:dyDescent="0.3">
      <c r="A38" s="61">
        <v>43171</v>
      </c>
      <c r="B38" s="15" t="s">
        <v>220</v>
      </c>
      <c r="C38" s="19" t="s">
        <v>276</v>
      </c>
      <c r="D38" s="9">
        <f>+'FIBRA DIETARIA KIT'!H12</f>
        <v>1.7699999999997829E-2</v>
      </c>
      <c r="E38" s="56">
        <v>1.3380000000000001</v>
      </c>
      <c r="F38" s="56">
        <f t="shared" si="1"/>
        <v>10.590610169492825</v>
      </c>
      <c r="G38" s="3">
        <v>6.25</v>
      </c>
      <c r="H38" s="3">
        <v>0</v>
      </c>
      <c r="I38" s="56">
        <f t="shared" si="2"/>
        <v>66.191313559330155</v>
      </c>
      <c r="J38" s="101" t="s">
        <v>10</v>
      </c>
      <c r="K38" s="101" t="s">
        <v>10</v>
      </c>
      <c r="L38" s="101" t="s">
        <v>10</v>
      </c>
      <c r="M38" s="3" t="s">
        <v>14</v>
      </c>
      <c r="N38" s="3" t="s">
        <v>15</v>
      </c>
      <c r="O38" s="202" t="s">
        <v>10</v>
      </c>
      <c r="P38" s="202"/>
      <c r="Q38" s="202"/>
    </row>
    <row r="39" spans="1:17" hidden="1" x14ac:dyDescent="0.3">
      <c r="A39" s="61">
        <v>43171</v>
      </c>
      <c r="B39" s="3" t="s">
        <v>277</v>
      </c>
      <c r="C39" s="2" t="s">
        <v>278</v>
      </c>
      <c r="D39" s="9">
        <v>1.0008999999999999</v>
      </c>
      <c r="E39" s="56">
        <v>3.8159999999999998</v>
      </c>
      <c r="F39" s="56">
        <f t="shared" si="1"/>
        <v>0.53414087321410741</v>
      </c>
      <c r="G39" s="3">
        <v>6.38</v>
      </c>
      <c r="H39" s="3">
        <v>0</v>
      </c>
      <c r="I39" s="56">
        <f t="shared" si="2"/>
        <v>3.4078187711060051</v>
      </c>
      <c r="J39" s="101" t="s">
        <v>10</v>
      </c>
      <c r="K39" s="101" t="s">
        <v>10</v>
      </c>
      <c r="L39" s="101" t="s">
        <v>10</v>
      </c>
      <c r="M39" s="3" t="s">
        <v>14</v>
      </c>
      <c r="N39" s="3" t="s">
        <v>15</v>
      </c>
      <c r="O39" s="202" t="s">
        <v>10</v>
      </c>
      <c r="P39" s="202"/>
      <c r="Q39" s="202"/>
    </row>
    <row r="40" spans="1:17" hidden="1" x14ac:dyDescent="0.3">
      <c r="A40" s="61">
        <v>43181</v>
      </c>
      <c r="B40" s="15" t="s">
        <v>291</v>
      </c>
      <c r="C40" s="2" t="s">
        <v>290</v>
      </c>
      <c r="D40" s="9">
        <v>1.0004999999999999</v>
      </c>
      <c r="E40" s="56">
        <v>0.28599999999999998</v>
      </c>
      <c r="F40" s="56">
        <f t="shared" si="1"/>
        <v>4.004857571214393E-2</v>
      </c>
      <c r="G40" s="3">
        <v>6.25</v>
      </c>
      <c r="H40" s="3">
        <v>0</v>
      </c>
      <c r="I40" s="56">
        <f t="shared" si="2"/>
        <v>0.25030359820089954</v>
      </c>
      <c r="J40" s="101" t="s">
        <v>10</v>
      </c>
      <c r="K40" s="101" t="s">
        <v>10</v>
      </c>
      <c r="L40" s="101" t="s">
        <v>10</v>
      </c>
      <c r="M40" s="3" t="s">
        <v>14</v>
      </c>
      <c r="N40" s="3" t="s">
        <v>15</v>
      </c>
      <c r="O40" s="202" t="s">
        <v>10</v>
      </c>
      <c r="P40" s="202"/>
      <c r="Q40" s="202"/>
    </row>
    <row r="41" spans="1:17" hidden="1" x14ac:dyDescent="0.3">
      <c r="A41" s="61">
        <v>43181</v>
      </c>
      <c r="B41" s="3" t="s">
        <v>292</v>
      </c>
      <c r="C41" s="2" t="s">
        <v>293</v>
      </c>
      <c r="D41" s="9">
        <v>1.0004999999999999</v>
      </c>
      <c r="E41" s="56">
        <v>9.1999999999999998E-2</v>
      </c>
      <c r="F41" s="56">
        <f t="shared" si="1"/>
        <v>1.2882758620689657E-2</v>
      </c>
      <c r="G41" s="3">
        <v>6.25</v>
      </c>
      <c r="H41" s="3">
        <v>0</v>
      </c>
      <c r="I41" s="56">
        <f t="shared" si="2"/>
        <v>8.051724137931035E-2</v>
      </c>
      <c r="J41" s="101" t="s">
        <v>10</v>
      </c>
      <c r="K41" s="101" t="s">
        <v>10</v>
      </c>
      <c r="L41" s="101" t="s">
        <v>10</v>
      </c>
      <c r="M41" s="3" t="s">
        <v>14</v>
      </c>
      <c r="N41" s="3" t="s">
        <v>15</v>
      </c>
      <c r="O41" s="202" t="s">
        <v>10</v>
      </c>
      <c r="P41" s="202"/>
      <c r="Q41" s="202"/>
    </row>
    <row r="42" spans="1:17" hidden="1" x14ac:dyDescent="0.3">
      <c r="A42" s="61">
        <v>43181</v>
      </c>
      <c r="B42" s="3" t="s">
        <v>294</v>
      </c>
      <c r="C42" s="2" t="s">
        <v>295</v>
      </c>
      <c r="D42" s="9">
        <v>1.0003</v>
      </c>
      <c r="E42" s="56">
        <v>0.79800000000000004</v>
      </c>
      <c r="F42" s="56">
        <f t="shared" si="1"/>
        <v>0.11176627011896431</v>
      </c>
      <c r="G42" s="3">
        <v>6.25</v>
      </c>
      <c r="H42" s="3">
        <v>0</v>
      </c>
      <c r="I42" s="56">
        <f t="shared" si="2"/>
        <v>0.6985391882435269</v>
      </c>
      <c r="J42" s="101" t="s">
        <v>10</v>
      </c>
      <c r="K42" s="101" t="s">
        <v>10</v>
      </c>
      <c r="L42" s="101" t="s">
        <v>10</v>
      </c>
      <c r="M42" s="3" t="s">
        <v>14</v>
      </c>
      <c r="N42" s="3" t="s">
        <v>15</v>
      </c>
      <c r="O42" s="202" t="s">
        <v>10</v>
      </c>
      <c r="P42" s="202"/>
      <c r="Q42" s="202"/>
    </row>
    <row r="43" spans="1:17" hidden="1" x14ac:dyDescent="0.3">
      <c r="A43" s="61">
        <v>43181</v>
      </c>
      <c r="B43" s="3" t="s">
        <v>296</v>
      </c>
      <c r="C43" s="2" t="s">
        <v>297</v>
      </c>
      <c r="D43" s="9">
        <v>1</v>
      </c>
      <c r="E43" s="56">
        <v>24.474</v>
      </c>
      <c r="F43" s="56">
        <f t="shared" si="1"/>
        <v>3.4288074000000002</v>
      </c>
      <c r="G43" s="3">
        <v>6.25</v>
      </c>
      <c r="H43" s="3">
        <v>0</v>
      </c>
      <c r="I43" s="56">
        <f t="shared" si="2"/>
        <v>21.43004625</v>
      </c>
      <c r="J43" s="101" t="s">
        <v>10</v>
      </c>
      <c r="K43" s="101" t="s">
        <v>10</v>
      </c>
      <c r="L43" s="101" t="s">
        <v>10</v>
      </c>
      <c r="M43" s="3" t="s">
        <v>14</v>
      </c>
      <c r="N43" s="3" t="s">
        <v>15</v>
      </c>
      <c r="O43" s="202" t="s">
        <v>10</v>
      </c>
      <c r="P43" s="202"/>
      <c r="Q43" s="202"/>
    </row>
    <row r="44" spans="1:17" hidden="1" x14ac:dyDescent="0.3">
      <c r="A44" s="61">
        <v>43186</v>
      </c>
      <c r="B44" s="3" t="s">
        <v>298</v>
      </c>
      <c r="C44" s="2" t="s">
        <v>299</v>
      </c>
      <c r="D44" s="9">
        <v>1.0006999999999999</v>
      </c>
      <c r="E44" s="56">
        <v>7.1999999999999995E-2</v>
      </c>
      <c r="F44" s="56">
        <f t="shared" si="1"/>
        <v>1.008014389927051E-2</v>
      </c>
      <c r="G44" s="3">
        <v>6.25</v>
      </c>
      <c r="H44" s="3">
        <v>0</v>
      </c>
      <c r="I44" s="56">
        <f t="shared" si="2"/>
        <v>6.3000899370440691E-2</v>
      </c>
      <c r="J44" s="101" t="s">
        <v>10</v>
      </c>
      <c r="K44" s="101" t="s">
        <v>10</v>
      </c>
      <c r="L44" s="101" t="s">
        <v>10</v>
      </c>
      <c r="M44" s="3" t="s">
        <v>14</v>
      </c>
      <c r="N44" s="3" t="s">
        <v>15</v>
      </c>
      <c r="O44" s="202" t="s">
        <v>10</v>
      </c>
      <c r="P44" s="202"/>
      <c r="Q44" s="202"/>
    </row>
    <row r="45" spans="1:17" hidden="1" x14ac:dyDescent="0.3">
      <c r="A45" s="61">
        <v>43186</v>
      </c>
      <c r="B45" s="3" t="s">
        <v>301</v>
      </c>
      <c r="C45" s="2" t="s">
        <v>300</v>
      </c>
      <c r="D45" s="9">
        <v>1.0004999999999999</v>
      </c>
      <c r="E45" s="56">
        <v>7.1999999999999995E-2</v>
      </c>
      <c r="F45" s="56">
        <f t="shared" si="1"/>
        <v>1.008215892053973E-2</v>
      </c>
      <c r="G45" s="3">
        <v>6.25</v>
      </c>
      <c r="H45" s="3">
        <v>0</v>
      </c>
      <c r="I45" s="56">
        <f t="shared" ref="I45:I76" si="3">+F45*G45*((100-H45)/100)</f>
        <v>6.3013493253373312E-2</v>
      </c>
      <c r="J45" s="101" t="s">
        <v>10</v>
      </c>
      <c r="K45" s="101" t="s">
        <v>10</v>
      </c>
      <c r="L45" s="101" t="s">
        <v>10</v>
      </c>
      <c r="M45" s="3" t="s">
        <v>14</v>
      </c>
      <c r="N45" s="3" t="s">
        <v>15</v>
      </c>
      <c r="O45" s="202" t="s">
        <v>10</v>
      </c>
      <c r="P45" s="202"/>
      <c r="Q45" s="202"/>
    </row>
    <row r="46" spans="1:17" hidden="1" x14ac:dyDescent="0.3">
      <c r="A46" s="61">
        <v>43186</v>
      </c>
      <c r="B46" s="3" t="s">
        <v>304</v>
      </c>
      <c r="C46" s="2" t="s">
        <v>305</v>
      </c>
      <c r="D46" s="9">
        <v>1.0003</v>
      </c>
      <c r="E46" s="56">
        <v>0</v>
      </c>
      <c r="F46" s="56">
        <f t="shared" si="1"/>
        <v>0</v>
      </c>
      <c r="G46" s="3">
        <v>6.25</v>
      </c>
      <c r="H46" s="3">
        <v>0</v>
      </c>
      <c r="I46" s="56">
        <f t="shared" si="3"/>
        <v>0</v>
      </c>
      <c r="J46" s="101" t="s">
        <v>10</v>
      </c>
      <c r="K46" s="101" t="s">
        <v>10</v>
      </c>
      <c r="L46" s="101" t="s">
        <v>10</v>
      </c>
      <c r="M46" s="3" t="s">
        <v>14</v>
      </c>
      <c r="N46" s="3" t="s">
        <v>15</v>
      </c>
      <c r="O46" s="202" t="s">
        <v>10</v>
      </c>
      <c r="P46" s="202"/>
      <c r="Q46" s="202"/>
    </row>
    <row r="47" spans="1:17" hidden="1" x14ac:dyDescent="0.3">
      <c r="A47" s="61">
        <v>43186</v>
      </c>
      <c r="B47" s="3" t="s">
        <v>303</v>
      </c>
      <c r="C47" s="2" t="s">
        <v>302</v>
      </c>
      <c r="D47" s="9">
        <v>1.0004</v>
      </c>
      <c r="E47" s="56">
        <v>8.2000000000000003E-2</v>
      </c>
      <c r="F47" s="56">
        <f t="shared" si="1"/>
        <v>1.1483606557377051E-2</v>
      </c>
      <c r="G47" s="3">
        <v>6.25</v>
      </c>
      <c r="H47" s="3">
        <v>0</v>
      </c>
      <c r="I47" s="56">
        <f t="shared" si="3"/>
        <v>7.1772540983606567E-2</v>
      </c>
      <c r="J47" s="101" t="s">
        <v>10</v>
      </c>
      <c r="K47" s="101" t="s">
        <v>10</v>
      </c>
      <c r="L47" s="101" t="s">
        <v>10</v>
      </c>
      <c r="M47" s="3" t="s">
        <v>14</v>
      </c>
      <c r="N47" s="3" t="s">
        <v>15</v>
      </c>
      <c r="O47" s="202" t="s">
        <v>10</v>
      </c>
      <c r="P47" s="202"/>
      <c r="Q47" s="202"/>
    </row>
    <row r="48" spans="1:17" hidden="1" x14ac:dyDescent="0.3">
      <c r="A48" s="61">
        <v>43186</v>
      </c>
      <c r="B48" s="15" t="s">
        <v>298</v>
      </c>
      <c r="C48" s="2" t="s">
        <v>306</v>
      </c>
      <c r="D48" s="9">
        <f>+'FIBRA DIETARIA KIT'!H15</f>
        <v>4.410000000000025E-2</v>
      </c>
      <c r="E48" s="56">
        <v>1.5880000000000001</v>
      </c>
      <c r="F48" s="56">
        <f t="shared" si="1"/>
        <v>5.0448707482992914</v>
      </c>
      <c r="G48" s="3">
        <v>6.25</v>
      </c>
      <c r="H48" s="3">
        <v>0</v>
      </c>
      <c r="I48" s="56">
        <f t="shared" si="3"/>
        <v>31.530442176870572</v>
      </c>
      <c r="J48" s="101" t="s">
        <v>10</v>
      </c>
      <c r="K48" s="101" t="s">
        <v>10</v>
      </c>
      <c r="L48" s="101" t="s">
        <v>10</v>
      </c>
      <c r="M48" s="3" t="s">
        <v>14</v>
      </c>
      <c r="N48" s="3" t="s">
        <v>15</v>
      </c>
      <c r="O48" s="202" t="s">
        <v>10</v>
      </c>
      <c r="P48" s="202"/>
      <c r="Q48" s="202"/>
    </row>
    <row r="49" spans="1:17" hidden="1" x14ac:dyDescent="0.3">
      <c r="A49" s="61">
        <v>43186</v>
      </c>
      <c r="B49" s="15" t="s">
        <v>301</v>
      </c>
      <c r="C49" s="2" t="s">
        <v>307</v>
      </c>
      <c r="D49" s="9">
        <f>+'FIBRA DIETARIA KIT'!H17</f>
        <v>3.8699999999998624E-2</v>
      </c>
      <c r="E49" s="56">
        <v>1.6759999999999999</v>
      </c>
      <c r="F49" s="56">
        <f t="shared" si="1"/>
        <v>6.0673798449614553</v>
      </c>
      <c r="G49" s="3">
        <v>6.25</v>
      </c>
      <c r="H49" s="3">
        <v>0</v>
      </c>
      <c r="I49" s="56">
        <f t="shared" si="3"/>
        <v>37.921124031009093</v>
      </c>
      <c r="J49" s="101" t="s">
        <v>10</v>
      </c>
      <c r="K49" s="101" t="s">
        <v>10</v>
      </c>
      <c r="L49" s="101" t="s">
        <v>10</v>
      </c>
      <c r="M49" s="3" t="s">
        <v>14</v>
      </c>
      <c r="N49" s="3" t="s">
        <v>15</v>
      </c>
      <c r="O49" s="202" t="s">
        <v>10</v>
      </c>
      <c r="P49" s="202"/>
      <c r="Q49" s="202"/>
    </row>
    <row r="50" spans="1:17" hidden="1" x14ac:dyDescent="0.3">
      <c r="A50" s="61">
        <v>43181</v>
      </c>
      <c r="B50" s="8" t="s">
        <v>309</v>
      </c>
      <c r="C50" s="8" t="s">
        <v>308</v>
      </c>
      <c r="D50" s="9">
        <v>1.0004999999999999</v>
      </c>
      <c r="E50" s="56">
        <v>7.8879999999999999</v>
      </c>
      <c r="F50" s="56">
        <f t="shared" si="1"/>
        <v>1.1045565217391304</v>
      </c>
      <c r="G50" s="3">
        <v>6.25</v>
      </c>
      <c r="H50" s="3">
        <v>0</v>
      </c>
      <c r="I50" s="56">
        <f t="shared" si="3"/>
        <v>6.9034782608695648</v>
      </c>
      <c r="J50" s="101" t="s">
        <v>10</v>
      </c>
      <c r="K50" s="101" t="s">
        <v>10</v>
      </c>
      <c r="L50" s="101" t="s">
        <v>10</v>
      </c>
      <c r="M50" s="3" t="s">
        <v>14</v>
      </c>
      <c r="N50" s="3" t="s">
        <v>15</v>
      </c>
      <c r="O50" s="202" t="s">
        <v>10</v>
      </c>
      <c r="P50" s="202"/>
      <c r="Q50" s="202"/>
    </row>
    <row r="51" spans="1:17" hidden="1" x14ac:dyDescent="0.3">
      <c r="A51" s="61">
        <v>43181</v>
      </c>
      <c r="B51" s="8" t="s">
        <v>311</v>
      </c>
      <c r="C51" s="8" t="s">
        <v>310</v>
      </c>
      <c r="D51" s="9">
        <v>1.0007999999999999</v>
      </c>
      <c r="E51" s="56">
        <v>4.2439999999999998</v>
      </c>
      <c r="F51" s="56">
        <v>1</v>
      </c>
      <c r="G51" s="3">
        <v>6.25</v>
      </c>
      <c r="H51" s="3">
        <v>0</v>
      </c>
      <c r="I51" s="56">
        <f t="shared" si="3"/>
        <v>6.25</v>
      </c>
      <c r="J51" s="101" t="s">
        <v>10</v>
      </c>
      <c r="K51" s="101" t="s">
        <v>10</v>
      </c>
      <c r="L51" s="101" t="s">
        <v>10</v>
      </c>
      <c r="M51" s="3" t="s">
        <v>14</v>
      </c>
      <c r="N51" s="3" t="s">
        <v>15</v>
      </c>
      <c r="O51" s="202" t="s">
        <v>10</v>
      </c>
      <c r="P51" s="202"/>
      <c r="Q51" s="202"/>
    </row>
    <row r="52" spans="1:17" hidden="1" x14ac:dyDescent="0.3">
      <c r="A52" s="61">
        <v>43181</v>
      </c>
      <c r="B52" s="8" t="s">
        <v>312</v>
      </c>
      <c r="C52" s="8" t="s">
        <v>315</v>
      </c>
      <c r="D52" s="9">
        <v>1.0002</v>
      </c>
      <c r="E52" s="56">
        <v>8.8420000000000005</v>
      </c>
      <c r="F52" s="56">
        <v>1.0900000000000001</v>
      </c>
      <c r="G52" s="3">
        <v>6.25</v>
      </c>
      <c r="H52" s="3">
        <v>0</v>
      </c>
      <c r="I52" s="56">
        <f t="shared" si="3"/>
        <v>6.8125000000000009</v>
      </c>
      <c r="J52" s="101" t="s">
        <v>10</v>
      </c>
      <c r="K52" s="101" t="s">
        <v>10</v>
      </c>
      <c r="L52" s="101" t="s">
        <v>10</v>
      </c>
      <c r="M52" s="3" t="s">
        <v>14</v>
      </c>
      <c r="N52" s="3" t="s">
        <v>15</v>
      </c>
      <c r="O52" s="202" t="s">
        <v>10</v>
      </c>
      <c r="P52" s="202"/>
      <c r="Q52" s="202"/>
    </row>
    <row r="53" spans="1:17" hidden="1" x14ac:dyDescent="0.3">
      <c r="A53" s="61">
        <v>43181</v>
      </c>
      <c r="B53" s="8" t="s">
        <v>313</v>
      </c>
      <c r="C53" s="8" t="s">
        <v>316</v>
      </c>
      <c r="D53" s="9">
        <v>1.0008999999999999</v>
      </c>
      <c r="E53" s="56">
        <v>6.3239999999999998</v>
      </c>
      <c r="F53" s="56">
        <f t="shared" si="1"/>
        <v>0.88519572384853662</v>
      </c>
      <c r="G53" s="3">
        <v>6.25</v>
      </c>
      <c r="H53" s="3">
        <v>0</v>
      </c>
      <c r="I53" s="56">
        <f t="shared" si="3"/>
        <v>5.5324732740533538</v>
      </c>
      <c r="J53" s="101" t="s">
        <v>10</v>
      </c>
      <c r="K53" s="101" t="s">
        <v>10</v>
      </c>
      <c r="L53" s="101" t="s">
        <v>10</v>
      </c>
      <c r="M53" s="3" t="s">
        <v>14</v>
      </c>
      <c r="N53" s="3" t="s">
        <v>15</v>
      </c>
      <c r="O53" s="202" t="s">
        <v>10</v>
      </c>
      <c r="P53" s="202"/>
      <c r="Q53" s="202"/>
    </row>
    <row r="54" spans="1:17" hidden="1" x14ac:dyDescent="0.3">
      <c r="A54" s="61">
        <v>43181</v>
      </c>
      <c r="B54" s="8" t="s">
        <v>314</v>
      </c>
      <c r="C54" s="8" t="s">
        <v>317</v>
      </c>
      <c r="D54" s="9">
        <v>1.0005999999999999</v>
      </c>
      <c r="E54" s="56">
        <v>8.1839999999999993</v>
      </c>
      <c r="F54" s="56">
        <f t="shared" si="1"/>
        <v>1.1458908654807114</v>
      </c>
      <c r="G54" s="3">
        <v>6.25</v>
      </c>
      <c r="H54" s="3">
        <v>0</v>
      </c>
      <c r="I54" s="56">
        <f t="shared" si="3"/>
        <v>7.1618179092544461</v>
      </c>
      <c r="J54" s="101" t="s">
        <v>10</v>
      </c>
      <c r="K54" s="101" t="s">
        <v>10</v>
      </c>
      <c r="L54" s="101" t="s">
        <v>10</v>
      </c>
      <c r="M54" s="3" t="s">
        <v>14</v>
      </c>
      <c r="N54" s="3" t="s">
        <v>15</v>
      </c>
      <c r="O54" s="202" t="s">
        <v>10</v>
      </c>
      <c r="P54" s="202"/>
      <c r="Q54" s="202"/>
    </row>
    <row r="55" spans="1:17" hidden="1" x14ac:dyDescent="0.3">
      <c r="A55" s="61">
        <v>43181</v>
      </c>
      <c r="B55" s="8" t="s">
        <v>321</v>
      </c>
      <c r="C55" s="8" t="s">
        <v>318</v>
      </c>
      <c r="D55" s="9">
        <v>1.0004999999999999</v>
      </c>
      <c r="E55" s="56">
        <v>7.7720000000000002</v>
      </c>
      <c r="F55" s="56">
        <f t="shared" si="1"/>
        <v>1.0883130434782611</v>
      </c>
      <c r="G55" s="3">
        <v>6.25</v>
      </c>
      <c r="H55" s="3">
        <v>0</v>
      </c>
      <c r="I55" s="56">
        <f t="shared" si="3"/>
        <v>6.8019565217391316</v>
      </c>
      <c r="J55" s="101" t="s">
        <v>10</v>
      </c>
      <c r="K55" s="101" t="s">
        <v>10</v>
      </c>
      <c r="L55" s="101" t="s">
        <v>10</v>
      </c>
      <c r="M55" s="3" t="s">
        <v>14</v>
      </c>
      <c r="N55" s="3" t="s">
        <v>15</v>
      </c>
      <c r="O55" s="202" t="s">
        <v>10</v>
      </c>
      <c r="P55" s="202"/>
      <c r="Q55" s="202"/>
    </row>
    <row r="56" spans="1:17" hidden="1" x14ac:dyDescent="0.3">
      <c r="A56" s="61">
        <v>43181</v>
      </c>
      <c r="B56" s="8" t="s">
        <v>322</v>
      </c>
      <c r="C56" s="8" t="s">
        <v>319</v>
      </c>
      <c r="D56" s="9">
        <v>1.0006999999999999</v>
      </c>
      <c r="E56" s="56">
        <v>8.0640000000000001</v>
      </c>
      <c r="F56" s="56">
        <f t="shared" si="1"/>
        <v>1.1289761167182972</v>
      </c>
      <c r="G56" s="3">
        <v>6.25</v>
      </c>
      <c r="H56" s="3">
        <v>0</v>
      </c>
      <c r="I56" s="56">
        <f t="shared" si="3"/>
        <v>7.0561007294893576</v>
      </c>
      <c r="J56" s="101" t="s">
        <v>10</v>
      </c>
      <c r="K56" s="101" t="s">
        <v>10</v>
      </c>
      <c r="L56" s="101" t="s">
        <v>10</v>
      </c>
      <c r="M56" s="3" t="s">
        <v>14</v>
      </c>
      <c r="N56" s="3" t="s">
        <v>15</v>
      </c>
      <c r="O56" s="202" t="s">
        <v>10</v>
      </c>
      <c r="P56" s="202"/>
      <c r="Q56" s="202"/>
    </row>
    <row r="57" spans="1:17" hidden="1" x14ac:dyDescent="0.3">
      <c r="A57" s="70">
        <v>43181</v>
      </c>
      <c r="B57" s="8" t="s">
        <v>323</v>
      </c>
      <c r="C57" s="8" t="s">
        <v>320</v>
      </c>
      <c r="D57" s="9">
        <v>1.0008999999999999</v>
      </c>
      <c r="E57" s="56">
        <v>8.0579999999999998</v>
      </c>
      <c r="F57" s="56">
        <f>+E57*0.1*14.01/(D57*10)</f>
        <v>1.1279106803876513</v>
      </c>
      <c r="G57" s="3">
        <v>6.25</v>
      </c>
      <c r="H57" s="3">
        <v>0</v>
      </c>
      <c r="I57" s="56">
        <f t="shared" si="3"/>
        <v>7.0494417524228208</v>
      </c>
      <c r="J57" s="101" t="s">
        <v>10</v>
      </c>
      <c r="K57" s="101" t="s">
        <v>10</v>
      </c>
      <c r="L57" s="101" t="s">
        <v>10</v>
      </c>
      <c r="M57" s="3" t="s">
        <v>14</v>
      </c>
      <c r="N57" s="3" t="s">
        <v>15</v>
      </c>
      <c r="O57" s="202" t="s">
        <v>10</v>
      </c>
      <c r="P57" s="202"/>
      <c r="Q57" s="202"/>
    </row>
    <row r="58" spans="1:17" hidden="1" x14ac:dyDescent="0.3">
      <c r="A58" s="70">
        <v>43175</v>
      </c>
      <c r="B58" s="8" t="s">
        <v>309</v>
      </c>
      <c r="C58" s="8" t="s">
        <v>308</v>
      </c>
      <c r="D58" s="9">
        <f>+'FIBRA DIETARIA KIT'!H19</f>
        <v>0.10289999999999822</v>
      </c>
      <c r="E58" s="56">
        <v>2.802</v>
      </c>
      <c r="F58" s="56">
        <f t="shared" ref="F58:F83" si="4">+E58*0.1*14.01/(D58*10)</f>
        <v>3.8149679300292205</v>
      </c>
      <c r="G58" s="3">
        <v>6.25</v>
      </c>
      <c r="H58" s="3">
        <v>0</v>
      </c>
      <c r="I58" s="56">
        <f t="shared" si="3"/>
        <v>23.843549562682629</v>
      </c>
      <c r="J58" s="101" t="s">
        <v>10</v>
      </c>
      <c r="K58" s="101" t="s">
        <v>10</v>
      </c>
      <c r="L58" s="101" t="s">
        <v>10</v>
      </c>
      <c r="M58" s="3" t="s">
        <v>14</v>
      </c>
      <c r="N58" s="3" t="s">
        <v>15</v>
      </c>
      <c r="O58" s="202" t="s">
        <v>10</v>
      </c>
      <c r="P58" s="202"/>
      <c r="Q58" s="202"/>
    </row>
    <row r="59" spans="1:17" hidden="1" x14ac:dyDescent="0.3">
      <c r="A59" s="70">
        <v>43175</v>
      </c>
      <c r="B59" s="8" t="s">
        <v>311</v>
      </c>
      <c r="C59" s="8" t="s">
        <v>310</v>
      </c>
      <c r="D59" s="9">
        <f>+'FIBRA DIETARIA KIT'!H21</f>
        <v>8.7199999999995725E-2</v>
      </c>
      <c r="E59" s="56">
        <v>2.36</v>
      </c>
      <c r="F59" s="56">
        <f t="shared" si="4"/>
        <v>3.7916972477066078</v>
      </c>
      <c r="G59" s="3">
        <v>6.25</v>
      </c>
      <c r="H59" s="3">
        <v>0</v>
      </c>
      <c r="I59" s="56">
        <f t="shared" si="3"/>
        <v>23.698107798166298</v>
      </c>
      <c r="J59" s="101" t="s">
        <v>10</v>
      </c>
      <c r="K59" s="101" t="s">
        <v>10</v>
      </c>
      <c r="L59" s="101" t="s">
        <v>10</v>
      </c>
      <c r="M59" s="3" t="s">
        <v>14</v>
      </c>
      <c r="N59" s="3" t="s">
        <v>15</v>
      </c>
      <c r="O59" s="202" t="s">
        <v>10</v>
      </c>
      <c r="P59" s="202"/>
      <c r="Q59" s="202"/>
    </row>
    <row r="60" spans="1:17" hidden="1" x14ac:dyDescent="0.3">
      <c r="A60" s="70">
        <v>43175</v>
      </c>
      <c r="B60" s="8" t="s">
        <v>312</v>
      </c>
      <c r="C60" s="8" t="s">
        <v>315</v>
      </c>
      <c r="D60" s="9">
        <f>+'FIBRA DIETARIA KIT'!H23</f>
        <v>0.10439999999999827</v>
      </c>
      <c r="E60" s="56">
        <v>2.8719999999999999</v>
      </c>
      <c r="F60" s="56">
        <f t="shared" si="4"/>
        <v>3.8540919540230525</v>
      </c>
      <c r="G60" s="3">
        <v>6.25</v>
      </c>
      <c r="H60" s="3">
        <v>0</v>
      </c>
      <c r="I60" s="56">
        <f t="shared" si="3"/>
        <v>24.08807471264408</v>
      </c>
      <c r="J60" s="101" t="s">
        <v>10</v>
      </c>
      <c r="K60" s="101" t="s">
        <v>10</v>
      </c>
      <c r="L60" s="101" t="s">
        <v>10</v>
      </c>
      <c r="M60" s="3" t="s">
        <v>14</v>
      </c>
      <c r="N60" s="3" t="s">
        <v>15</v>
      </c>
      <c r="O60" s="202" t="s">
        <v>10</v>
      </c>
      <c r="P60" s="202"/>
      <c r="Q60" s="202"/>
    </row>
    <row r="61" spans="1:17" hidden="1" x14ac:dyDescent="0.3">
      <c r="A61" s="70">
        <v>43175</v>
      </c>
      <c r="B61" s="8" t="s">
        <v>313</v>
      </c>
      <c r="C61" s="8" t="s">
        <v>316</v>
      </c>
      <c r="D61" s="9">
        <f>+'FIBRA DIETARIA KIT'!H25</f>
        <v>4.870000000000374E-2</v>
      </c>
      <c r="E61" s="56">
        <v>2.5299999999999998</v>
      </c>
      <c r="F61" s="56">
        <f t="shared" si="4"/>
        <v>7.2782956878844516</v>
      </c>
      <c r="G61" s="3">
        <v>6.25</v>
      </c>
      <c r="H61" s="3">
        <v>0</v>
      </c>
      <c r="I61" s="56">
        <f t="shared" si="3"/>
        <v>45.489348049277822</v>
      </c>
      <c r="J61" s="101" t="s">
        <v>10</v>
      </c>
      <c r="K61" s="101" t="s">
        <v>10</v>
      </c>
      <c r="L61" s="101" t="s">
        <v>10</v>
      </c>
      <c r="M61" s="3" t="s">
        <v>14</v>
      </c>
      <c r="N61" s="3" t="s">
        <v>15</v>
      </c>
      <c r="O61" s="202" t="s">
        <v>10</v>
      </c>
      <c r="P61" s="202"/>
      <c r="Q61" s="202"/>
    </row>
    <row r="62" spans="1:17" hidden="1" x14ac:dyDescent="0.3">
      <c r="A62" s="70">
        <v>43175</v>
      </c>
      <c r="B62" s="8" t="s">
        <v>314</v>
      </c>
      <c r="C62" s="8" t="s">
        <v>317</v>
      </c>
      <c r="D62" s="9">
        <f>+'FIBRA DIETARIA KIT'!H27</f>
        <v>5.2099999999995816E-2</v>
      </c>
      <c r="E62" s="56">
        <v>2.1989999999999998</v>
      </c>
      <c r="F62" s="56">
        <f t="shared" si="4"/>
        <v>5.9132418426108391</v>
      </c>
      <c r="G62" s="3">
        <v>6.25</v>
      </c>
      <c r="H62" s="3">
        <v>0</v>
      </c>
      <c r="I62" s="56">
        <f t="shared" si="3"/>
        <v>36.957761516317746</v>
      </c>
      <c r="J62" s="101" t="s">
        <v>10</v>
      </c>
      <c r="K62" s="101" t="s">
        <v>10</v>
      </c>
      <c r="L62" s="101" t="s">
        <v>10</v>
      </c>
      <c r="M62" s="3" t="s">
        <v>14</v>
      </c>
      <c r="N62" s="3" t="s">
        <v>15</v>
      </c>
      <c r="O62" s="202" t="s">
        <v>10</v>
      </c>
      <c r="P62" s="202"/>
      <c r="Q62" s="202"/>
    </row>
    <row r="63" spans="1:17" hidden="1" x14ac:dyDescent="0.3">
      <c r="A63" s="70">
        <v>43175</v>
      </c>
      <c r="B63" s="8" t="s">
        <v>321</v>
      </c>
      <c r="C63" s="8" t="s">
        <v>318</v>
      </c>
      <c r="D63" s="9">
        <f>+'FIBRA DIETARIA KIT'!H29</f>
        <v>5.2599999999998204E-2</v>
      </c>
      <c r="E63" s="56">
        <v>2.1280000000000001</v>
      </c>
      <c r="F63" s="56">
        <f t="shared" si="4"/>
        <v>5.6679239543728173</v>
      </c>
      <c r="G63" s="3">
        <v>6.25</v>
      </c>
      <c r="H63" s="3">
        <v>0</v>
      </c>
      <c r="I63" s="56">
        <f t="shared" si="3"/>
        <v>35.424524714830106</v>
      </c>
      <c r="J63" s="101" t="s">
        <v>10</v>
      </c>
      <c r="K63" s="101" t="s">
        <v>10</v>
      </c>
      <c r="L63" s="101" t="s">
        <v>10</v>
      </c>
      <c r="M63" s="3" t="s">
        <v>14</v>
      </c>
      <c r="N63" s="3" t="s">
        <v>15</v>
      </c>
      <c r="O63" s="202" t="s">
        <v>10</v>
      </c>
      <c r="P63" s="202"/>
      <c r="Q63" s="202"/>
    </row>
    <row r="64" spans="1:17" hidden="1" x14ac:dyDescent="0.3">
      <c r="A64" s="70">
        <v>43175</v>
      </c>
      <c r="B64" s="8" t="s">
        <v>322</v>
      </c>
      <c r="C64" s="8" t="s">
        <v>319</v>
      </c>
      <c r="D64" s="9">
        <f>+'FIBRA DIETARIA KIT'!H30</f>
        <v>6.0600000000000875E-2</v>
      </c>
      <c r="E64" s="56">
        <v>2.3279999999999998</v>
      </c>
      <c r="F64" s="56">
        <f t="shared" si="4"/>
        <v>5.3820594059405167</v>
      </c>
      <c r="G64" s="3">
        <v>6.25</v>
      </c>
      <c r="H64" s="3">
        <v>0</v>
      </c>
      <c r="I64" s="56">
        <f t="shared" si="3"/>
        <v>33.637871287128227</v>
      </c>
      <c r="J64" s="101" t="s">
        <v>10</v>
      </c>
      <c r="K64" s="101" t="s">
        <v>10</v>
      </c>
      <c r="L64" s="101" t="s">
        <v>10</v>
      </c>
      <c r="M64" s="3" t="s">
        <v>14</v>
      </c>
      <c r="N64" s="3" t="s">
        <v>15</v>
      </c>
      <c r="O64" s="202" t="s">
        <v>10</v>
      </c>
      <c r="P64" s="202"/>
      <c r="Q64" s="202"/>
    </row>
    <row r="65" spans="1:17" hidden="1" x14ac:dyDescent="0.3">
      <c r="A65" s="70">
        <v>43175</v>
      </c>
      <c r="B65" s="8" t="s">
        <v>323</v>
      </c>
      <c r="C65" s="8" t="s">
        <v>320</v>
      </c>
      <c r="D65" s="9">
        <f>+'FIBRA DIETARIA KIT'!H32</f>
        <v>6.0099999999998488E-2</v>
      </c>
      <c r="E65" s="56">
        <v>2.3340000000000001</v>
      </c>
      <c r="F65" s="56">
        <f t="shared" si="4"/>
        <v>5.4408219633944794</v>
      </c>
      <c r="G65" s="3">
        <v>6.25</v>
      </c>
      <c r="H65" s="3">
        <v>0</v>
      </c>
      <c r="I65" s="56">
        <f t="shared" si="3"/>
        <v>34.005137271215496</v>
      </c>
      <c r="J65" s="101" t="s">
        <v>10</v>
      </c>
      <c r="K65" s="101" t="s">
        <v>10</v>
      </c>
      <c r="L65" s="101" t="s">
        <v>10</v>
      </c>
      <c r="M65" s="3" t="s">
        <v>14</v>
      </c>
      <c r="N65" s="3" t="s">
        <v>15</v>
      </c>
      <c r="O65" s="202" t="s">
        <v>10</v>
      </c>
      <c r="P65" s="202"/>
      <c r="Q65" s="202"/>
    </row>
    <row r="66" spans="1:17" hidden="1" x14ac:dyDescent="0.3">
      <c r="A66" s="70">
        <v>43182</v>
      </c>
      <c r="B66" s="19" t="s">
        <v>304</v>
      </c>
      <c r="C66" s="19" t="s">
        <v>305</v>
      </c>
      <c r="D66" s="9">
        <f>+'FIBRA DIETARIA KIT'!H35</f>
        <v>3.9299999999997226E-2</v>
      </c>
      <c r="E66" s="56">
        <v>0.35199999999999998</v>
      </c>
      <c r="F66" s="56">
        <f t="shared" si="4"/>
        <v>1.2548396946565772</v>
      </c>
      <c r="G66" s="3">
        <v>6.25</v>
      </c>
      <c r="H66" s="3">
        <v>0</v>
      </c>
      <c r="I66" s="56">
        <f t="shared" si="3"/>
        <v>7.8427480916036076</v>
      </c>
      <c r="J66" s="101" t="s">
        <v>10</v>
      </c>
      <c r="K66" s="101" t="s">
        <v>10</v>
      </c>
      <c r="L66" s="101" t="s">
        <v>10</v>
      </c>
      <c r="M66" s="3" t="s">
        <v>14</v>
      </c>
      <c r="N66" s="3" t="s">
        <v>15</v>
      </c>
      <c r="O66" s="202" t="s">
        <v>10</v>
      </c>
      <c r="P66" s="202"/>
      <c r="Q66" s="202"/>
    </row>
    <row r="67" spans="1:17" hidden="1" x14ac:dyDescent="0.3">
      <c r="A67" s="70">
        <v>43182</v>
      </c>
      <c r="B67" s="19" t="s">
        <v>303</v>
      </c>
      <c r="C67" s="19" t="s">
        <v>302</v>
      </c>
      <c r="D67" s="9">
        <f>+'FIBRA DIETARIA KIT'!H37</f>
        <v>9.4400000000000261E-2</v>
      </c>
      <c r="E67" s="56">
        <v>0.55200000000000005</v>
      </c>
      <c r="F67" s="56">
        <f t="shared" si="4"/>
        <v>0.81922881355931976</v>
      </c>
      <c r="G67" s="3">
        <v>6.25</v>
      </c>
      <c r="H67" s="3">
        <v>0</v>
      </c>
      <c r="I67" s="56">
        <f t="shared" si="3"/>
        <v>5.1201800847457486</v>
      </c>
      <c r="J67" s="101" t="s">
        <v>10</v>
      </c>
      <c r="K67" s="101" t="s">
        <v>10</v>
      </c>
      <c r="L67" s="101" t="s">
        <v>10</v>
      </c>
      <c r="M67" s="3" t="s">
        <v>14</v>
      </c>
      <c r="N67" s="3" t="s">
        <v>15</v>
      </c>
      <c r="O67" s="202" t="s">
        <v>10</v>
      </c>
      <c r="P67" s="202"/>
      <c r="Q67" s="202"/>
    </row>
    <row r="68" spans="1:17" hidden="1" x14ac:dyDescent="0.3">
      <c r="A68" s="69">
        <v>43181</v>
      </c>
      <c r="B68" s="8" t="s">
        <v>326</v>
      </c>
      <c r="C68" s="8" t="s">
        <v>325</v>
      </c>
      <c r="D68" s="9">
        <v>1</v>
      </c>
      <c r="E68" s="3">
        <v>16.974</v>
      </c>
      <c r="F68" s="56">
        <f t="shared" si="4"/>
        <v>2.3780574000000003</v>
      </c>
      <c r="G68" s="3">
        <v>6.25</v>
      </c>
      <c r="H68" s="3">
        <v>0</v>
      </c>
      <c r="I68" s="63">
        <f t="shared" si="3"/>
        <v>14.862858750000003</v>
      </c>
      <c r="J68" s="101" t="s">
        <v>10</v>
      </c>
      <c r="K68" s="101" t="s">
        <v>10</v>
      </c>
      <c r="L68" s="101" t="s">
        <v>10</v>
      </c>
      <c r="M68" s="3" t="s">
        <v>14</v>
      </c>
      <c r="N68" s="3" t="s">
        <v>15</v>
      </c>
      <c r="O68" s="202" t="s">
        <v>10</v>
      </c>
      <c r="P68" s="202"/>
      <c r="Q68" s="202"/>
    </row>
    <row r="69" spans="1:17" hidden="1" x14ac:dyDescent="0.3">
      <c r="A69" s="69">
        <v>43193</v>
      </c>
      <c r="B69" s="3" t="s">
        <v>342</v>
      </c>
      <c r="C69" s="2" t="s">
        <v>341</v>
      </c>
      <c r="D69" s="9">
        <v>1.0003</v>
      </c>
      <c r="E69" s="56">
        <v>7.0460000000000003</v>
      </c>
      <c r="F69" s="56">
        <f t="shared" si="4"/>
        <v>0.98684854543636913</v>
      </c>
      <c r="G69" s="3">
        <v>6.25</v>
      </c>
      <c r="H69" s="3">
        <v>0</v>
      </c>
      <c r="I69" s="63">
        <f t="shared" si="3"/>
        <v>6.1678034089773073</v>
      </c>
      <c r="J69" s="101" t="s">
        <v>10</v>
      </c>
      <c r="K69" s="101" t="s">
        <v>10</v>
      </c>
      <c r="L69" s="101" t="s">
        <v>10</v>
      </c>
      <c r="M69" s="3" t="s">
        <v>14</v>
      </c>
      <c r="N69" s="3" t="s">
        <v>15</v>
      </c>
      <c r="O69" s="202" t="s">
        <v>10</v>
      </c>
      <c r="P69" s="202"/>
      <c r="Q69" s="202"/>
    </row>
    <row r="70" spans="1:17" hidden="1" x14ac:dyDescent="0.3">
      <c r="A70" s="69">
        <v>43193</v>
      </c>
      <c r="B70" s="3" t="s">
        <v>343</v>
      </c>
      <c r="C70" s="2" t="s">
        <v>344</v>
      </c>
      <c r="D70" s="9">
        <v>1.0008999999999999</v>
      </c>
      <c r="E70" s="56">
        <v>26.802</v>
      </c>
      <c r="F70" s="56">
        <f t="shared" si="4"/>
        <v>3.751583774602858</v>
      </c>
      <c r="G70" s="3">
        <v>6.25</v>
      </c>
      <c r="H70" s="3">
        <v>0</v>
      </c>
      <c r="I70" s="63">
        <f t="shared" si="3"/>
        <v>23.447398591267863</v>
      </c>
      <c r="J70" s="101" t="s">
        <v>10</v>
      </c>
      <c r="K70" s="101" t="s">
        <v>10</v>
      </c>
      <c r="L70" s="101" t="s">
        <v>10</v>
      </c>
      <c r="M70" s="3" t="s">
        <v>14</v>
      </c>
      <c r="N70" s="3" t="s">
        <v>15</v>
      </c>
      <c r="O70" s="202" t="s">
        <v>10</v>
      </c>
      <c r="P70" s="202"/>
      <c r="Q70" s="202"/>
    </row>
    <row r="71" spans="1:17" hidden="1" x14ac:dyDescent="0.3">
      <c r="A71" s="69">
        <v>43193</v>
      </c>
      <c r="B71" s="3" t="s">
        <v>345</v>
      </c>
      <c r="C71" s="2" t="s">
        <v>346</v>
      </c>
      <c r="D71" s="9">
        <v>1.0004999999999999</v>
      </c>
      <c r="E71" s="56">
        <v>22.146000000000001</v>
      </c>
      <c r="F71" s="56">
        <f t="shared" si="4"/>
        <v>3.1011040479760128</v>
      </c>
      <c r="G71" s="3">
        <v>6.25</v>
      </c>
      <c r="H71" s="3">
        <v>0</v>
      </c>
      <c r="I71" s="63">
        <f t="shared" si="3"/>
        <v>19.381900299850081</v>
      </c>
      <c r="J71" s="101" t="s">
        <v>10</v>
      </c>
      <c r="K71" s="101" t="s">
        <v>10</v>
      </c>
      <c r="L71" s="101" t="s">
        <v>10</v>
      </c>
      <c r="M71" s="3" t="s">
        <v>14</v>
      </c>
      <c r="N71" s="3" t="s">
        <v>15</v>
      </c>
      <c r="O71" s="202" t="s">
        <v>10</v>
      </c>
      <c r="P71" s="202"/>
      <c r="Q71" s="202"/>
    </row>
    <row r="72" spans="1:17" hidden="1" x14ac:dyDescent="0.3">
      <c r="A72" s="69">
        <v>43193</v>
      </c>
      <c r="B72" s="3" t="s">
        <v>347</v>
      </c>
      <c r="C72" s="2" t="s">
        <v>348</v>
      </c>
      <c r="D72" s="9">
        <v>1</v>
      </c>
      <c r="E72" s="56">
        <v>41.274000000000001</v>
      </c>
      <c r="F72" s="56">
        <f t="shared" si="4"/>
        <v>5.7824874000000008</v>
      </c>
      <c r="G72" s="3">
        <v>6.25</v>
      </c>
      <c r="H72" s="3">
        <v>0</v>
      </c>
      <c r="I72" s="63">
        <f t="shared" si="3"/>
        <v>36.140546250000007</v>
      </c>
      <c r="J72" s="101" t="s">
        <v>10</v>
      </c>
      <c r="K72" s="101" t="s">
        <v>10</v>
      </c>
      <c r="L72" s="101" t="s">
        <v>10</v>
      </c>
      <c r="M72" s="3" t="s">
        <v>14</v>
      </c>
      <c r="N72" s="3" t="s">
        <v>15</v>
      </c>
      <c r="O72" s="202" t="s">
        <v>10</v>
      </c>
      <c r="P72" s="202"/>
      <c r="Q72" s="202"/>
    </row>
    <row r="73" spans="1:17" hidden="1" x14ac:dyDescent="0.3">
      <c r="A73" s="61">
        <v>43201</v>
      </c>
      <c r="B73" s="3" t="s">
        <v>356</v>
      </c>
      <c r="C73" s="2" t="s">
        <v>355</v>
      </c>
      <c r="D73" s="9">
        <v>1.0008999999999999</v>
      </c>
      <c r="E73" s="56">
        <v>15.247999999999999</v>
      </c>
      <c r="F73" s="56">
        <f t="shared" si="4"/>
        <v>2.134323908482366</v>
      </c>
      <c r="G73" s="3">
        <v>6.25</v>
      </c>
      <c r="H73" s="3">
        <v>0</v>
      </c>
      <c r="I73" s="63">
        <f t="shared" si="3"/>
        <v>13.339524428014787</v>
      </c>
      <c r="J73" s="101" t="s">
        <v>10</v>
      </c>
      <c r="K73" s="101" t="s">
        <v>10</v>
      </c>
      <c r="L73" s="101" t="s">
        <v>10</v>
      </c>
      <c r="M73" s="3" t="s">
        <v>14</v>
      </c>
      <c r="N73" s="3" t="s">
        <v>15</v>
      </c>
      <c r="O73" s="202" t="s">
        <v>10</v>
      </c>
      <c r="P73" s="202"/>
      <c r="Q73" s="202"/>
    </row>
    <row r="74" spans="1:17" hidden="1" x14ac:dyDescent="0.3">
      <c r="A74" s="23">
        <v>43200</v>
      </c>
      <c r="B74" s="15" t="s">
        <v>127</v>
      </c>
      <c r="C74" s="2" t="s">
        <v>239</v>
      </c>
      <c r="D74" s="9">
        <f>+'FIBRA DIETARIA KIT'!H39</f>
        <v>4.8999999999992383E-3</v>
      </c>
      <c r="E74" s="56">
        <v>0.36</v>
      </c>
      <c r="F74" s="56">
        <f t="shared" si="4"/>
        <v>10.293061224491394</v>
      </c>
      <c r="G74" s="3">
        <v>6.25</v>
      </c>
      <c r="H74" s="3">
        <v>0</v>
      </c>
      <c r="I74" s="63">
        <f t="shared" si="3"/>
        <v>64.33163265307121</v>
      </c>
      <c r="J74" s="101" t="s">
        <v>10</v>
      </c>
      <c r="K74" s="101" t="s">
        <v>10</v>
      </c>
      <c r="L74" s="101" t="s">
        <v>10</v>
      </c>
      <c r="M74" s="3" t="s">
        <v>14</v>
      </c>
      <c r="N74" s="3" t="s">
        <v>15</v>
      </c>
      <c r="O74" s="202" t="s">
        <v>10</v>
      </c>
      <c r="P74" s="202"/>
      <c r="Q74" s="202"/>
    </row>
    <row r="75" spans="1:17" hidden="1" x14ac:dyDescent="0.3">
      <c r="A75" s="23">
        <v>43200</v>
      </c>
      <c r="B75" s="15" t="s">
        <v>127</v>
      </c>
      <c r="C75" s="19" t="str">
        <f>+'FIBRA DIETARIA KIT'!B41</f>
        <v>Blanco proteína FDS</v>
      </c>
      <c r="D75" s="9">
        <f>+'FIBRA DIETARIA KIT'!H41</f>
        <v>1.0899999999999466E-2</v>
      </c>
      <c r="E75" s="56">
        <v>1.214</v>
      </c>
      <c r="F75" s="56">
        <f t="shared" si="4"/>
        <v>15.603798165138381</v>
      </c>
      <c r="G75" s="3">
        <v>6.25</v>
      </c>
      <c r="H75" s="3">
        <v>0</v>
      </c>
      <c r="I75" s="63">
        <f t="shared" si="3"/>
        <v>97.523738532114876</v>
      </c>
      <c r="J75" s="101" t="s">
        <v>10</v>
      </c>
      <c r="K75" s="101" t="s">
        <v>10</v>
      </c>
      <c r="L75" s="101" t="s">
        <v>10</v>
      </c>
      <c r="M75" s="3" t="s">
        <v>14</v>
      </c>
      <c r="N75" s="3" t="s">
        <v>15</v>
      </c>
      <c r="O75" s="202" t="s">
        <v>10</v>
      </c>
      <c r="P75" s="202"/>
      <c r="Q75" s="202"/>
    </row>
    <row r="76" spans="1:17" x14ac:dyDescent="0.3">
      <c r="A76" s="23">
        <v>43200</v>
      </c>
      <c r="B76" s="15" t="s">
        <v>358</v>
      </c>
      <c r="C76" s="2" t="s">
        <v>359</v>
      </c>
      <c r="D76" s="152">
        <f>+'FIBRA DIETARIA KIT'!H43</f>
        <v>4.2899999999995941E-2</v>
      </c>
      <c r="E76" s="152">
        <v>0.06</v>
      </c>
      <c r="F76" s="56">
        <f>+E76*0.1*14.01/(D76*10)</f>
        <v>0.19594405594407446</v>
      </c>
      <c r="G76" s="3">
        <v>6.25</v>
      </c>
      <c r="H76" s="151">
        <v>0</v>
      </c>
      <c r="I76" s="63">
        <f t="shared" si="3"/>
        <v>1.2246503496504655</v>
      </c>
      <c r="J76" s="101" t="s">
        <v>10</v>
      </c>
      <c r="K76" s="101" t="s">
        <v>10</v>
      </c>
      <c r="L76" s="101" t="s">
        <v>10</v>
      </c>
      <c r="M76" s="3" t="s">
        <v>14</v>
      </c>
      <c r="N76" s="3" t="s">
        <v>15</v>
      </c>
      <c r="O76" s="202" t="s">
        <v>10</v>
      </c>
      <c r="P76" s="202"/>
      <c r="Q76" s="202"/>
    </row>
    <row r="77" spans="1:17" x14ac:dyDescent="0.3">
      <c r="A77" s="23">
        <v>43200</v>
      </c>
      <c r="B77" s="15" t="s">
        <v>358</v>
      </c>
      <c r="C77" s="2" t="s">
        <v>360</v>
      </c>
      <c r="D77" s="152">
        <f>+'FIBRA DIETARIA KIT'!H45</f>
        <v>2.2399999999997533E-2</v>
      </c>
      <c r="E77" s="152">
        <v>1.3580000000000001</v>
      </c>
      <c r="F77" s="56">
        <f t="shared" si="4"/>
        <v>8.4935625000009356</v>
      </c>
      <c r="G77" s="3">
        <v>6.25</v>
      </c>
      <c r="H77" s="151">
        <v>0</v>
      </c>
      <c r="I77" s="63">
        <f t="shared" ref="I77:I108" si="5">+F77*G77*((100-H77)/100)</f>
        <v>53.084765625005851</v>
      </c>
      <c r="J77" s="101" t="s">
        <v>10</v>
      </c>
      <c r="K77" s="101" t="s">
        <v>10</v>
      </c>
      <c r="L77" s="101" t="s">
        <v>10</v>
      </c>
      <c r="M77" s="3" t="s">
        <v>14</v>
      </c>
      <c r="N77" s="3" t="s">
        <v>15</v>
      </c>
      <c r="O77" s="202" t="s">
        <v>10</v>
      </c>
      <c r="P77" s="202"/>
      <c r="Q77" s="202"/>
    </row>
    <row r="78" spans="1:17" x14ac:dyDescent="0.3">
      <c r="A78" s="23">
        <v>43201</v>
      </c>
      <c r="B78" s="15" t="s">
        <v>358</v>
      </c>
      <c r="C78" s="2" t="s">
        <v>359</v>
      </c>
      <c r="D78" s="152">
        <f>+'FIBRA DIETARIA KIT'!H47</f>
        <v>4.590000000000316E-2</v>
      </c>
      <c r="E78" s="152">
        <v>5.1999999999999998E-2</v>
      </c>
      <c r="F78" s="56">
        <f t="shared" si="4"/>
        <v>0.15871895424835508</v>
      </c>
      <c r="G78" s="3">
        <v>6.25</v>
      </c>
      <c r="H78" s="151">
        <v>0</v>
      </c>
      <c r="I78" s="63">
        <f t="shared" si="5"/>
        <v>0.99199346405221922</v>
      </c>
      <c r="J78" s="101" t="s">
        <v>10</v>
      </c>
      <c r="K78" s="101" t="s">
        <v>10</v>
      </c>
      <c r="L78" s="101" t="s">
        <v>10</v>
      </c>
      <c r="M78" s="3" t="s">
        <v>14</v>
      </c>
      <c r="N78" s="3" t="s">
        <v>15</v>
      </c>
      <c r="O78" s="202" t="s">
        <v>10</v>
      </c>
      <c r="P78" s="202"/>
      <c r="Q78" s="202"/>
    </row>
    <row r="79" spans="1:17" x14ac:dyDescent="0.3">
      <c r="A79" s="23">
        <v>43201</v>
      </c>
      <c r="B79" s="15" t="s">
        <v>358</v>
      </c>
      <c r="C79" s="2" t="s">
        <v>360</v>
      </c>
      <c r="D79" s="152">
        <f>+'FIBRA DIETARIA KIT'!H49</f>
        <v>3.410000000000224E-2</v>
      </c>
      <c r="E79" s="152">
        <v>0</v>
      </c>
      <c r="F79" s="56">
        <f t="shared" si="4"/>
        <v>0</v>
      </c>
      <c r="G79" s="3">
        <v>6.25</v>
      </c>
      <c r="H79" s="151">
        <v>0</v>
      </c>
      <c r="I79" s="63">
        <f t="shared" si="5"/>
        <v>0</v>
      </c>
      <c r="J79" s="101" t="s">
        <v>10</v>
      </c>
      <c r="K79" s="101" t="s">
        <v>10</v>
      </c>
      <c r="L79" s="101" t="s">
        <v>10</v>
      </c>
      <c r="M79" s="3" t="s">
        <v>14</v>
      </c>
      <c r="N79" s="3" t="s">
        <v>15</v>
      </c>
      <c r="O79" s="202" t="s">
        <v>10</v>
      </c>
      <c r="P79" s="202"/>
      <c r="Q79" s="202"/>
    </row>
    <row r="80" spans="1:17" hidden="1" x14ac:dyDescent="0.3">
      <c r="A80" s="61">
        <v>43203</v>
      </c>
      <c r="B80" s="3" t="s">
        <v>362</v>
      </c>
      <c r="C80" s="2" t="s">
        <v>361</v>
      </c>
      <c r="D80" s="9">
        <v>1.0008999999999999</v>
      </c>
      <c r="E80" s="56">
        <v>21.138000000000002</v>
      </c>
      <c r="F80" s="56">
        <f t="shared" si="4"/>
        <v>2.9587709061844349</v>
      </c>
      <c r="G80" s="3">
        <v>6.25</v>
      </c>
      <c r="H80" s="3">
        <v>0</v>
      </c>
      <c r="I80" s="63">
        <f t="shared" si="5"/>
        <v>18.492318163652719</v>
      </c>
      <c r="J80" s="101" t="s">
        <v>10</v>
      </c>
      <c r="K80" s="101" t="s">
        <v>10</v>
      </c>
      <c r="L80" s="101" t="s">
        <v>10</v>
      </c>
      <c r="M80" s="3" t="s">
        <v>14</v>
      </c>
      <c r="N80" s="3" t="s">
        <v>15</v>
      </c>
      <c r="O80" s="202" t="s">
        <v>10</v>
      </c>
      <c r="P80" s="202"/>
      <c r="Q80" s="202"/>
    </row>
    <row r="81" spans="1:17" hidden="1" x14ac:dyDescent="0.3">
      <c r="A81" s="61">
        <v>43203</v>
      </c>
      <c r="B81" s="3" t="s">
        <v>363</v>
      </c>
      <c r="C81" s="2" t="s">
        <v>365</v>
      </c>
      <c r="D81" s="9">
        <v>1.0008999999999999</v>
      </c>
      <c r="E81" s="56">
        <v>22.204000000000001</v>
      </c>
      <c r="F81" s="56">
        <f t="shared" si="4"/>
        <v>3.1079832151064046</v>
      </c>
      <c r="G81" s="3">
        <v>6.25</v>
      </c>
      <c r="H81" s="3">
        <v>0</v>
      </c>
      <c r="I81" s="63">
        <f t="shared" si="5"/>
        <v>19.424895094415028</v>
      </c>
      <c r="J81" s="101" t="s">
        <v>10</v>
      </c>
      <c r="K81" s="101" t="s">
        <v>10</v>
      </c>
      <c r="L81" s="101" t="s">
        <v>10</v>
      </c>
      <c r="M81" s="3" t="s">
        <v>14</v>
      </c>
      <c r="N81" s="3" t="s">
        <v>15</v>
      </c>
      <c r="O81" s="202" t="s">
        <v>10</v>
      </c>
      <c r="P81" s="202"/>
      <c r="Q81" s="202"/>
    </row>
    <row r="82" spans="1:17" hidden="1" x14ac:dyDescent="0.3">
      <c r="A82" s="61">
        <v>43203</v>
      </c>
      <c r="B82" s="3" t="s">
        <v>367</v>
      </c>
      <c r="C82" s="2" t="s">
        <v>368</v>
      </c>
      <c r="D82" s="9">
        <v>1.0008999999999999</v>
      </c>
      <c r="E82" s="56">
        <v>19.788</v>
      </c>
      <c r="F82" s="56">
        <f t="shared" si="4"/>
        <v>2.7698059746228401</v>
      </c>
      <c r="G82" s="3">
        <v>6.25</v>
      </c>
      <c r="H82" s="3">
        <v>0</v>
      </c>
      <c r="I82" s="63">
        <f t="shared" si="5"/>
        <v>17.311287341392749</v>
      </c>
      <c r="J82" s="101" t="s">
        <v>10</v>
      </c>
      <c r="K82" s="101" t="s">
        <v>10</v>
      </c>
      <c r="L82" s="101" t="s">
        <v>10</v>
      </c>
      <c r="M82" s="3" t="s">
        <v>14</v>
      </c>
      <c r="N82" s="3" t="s">
        <v>15</v>
      </c>
      <c r="O82" s="202" t="s">
        <v>10</v>
      </c>
      <c r="P82" s="202"/>
      <c r="Q82" s="202"/>
    </row>
    <row r="83" spans="1:17" hidden="1" x14ac:dyDescent="0.3">
      <c r="A83" s="61">
        <v>43203</v>
      </c>
      <c r="B83" s="3" t="s">
        <v>364</v>
      </c>
      <c r="C83" s="2" t="s">
        <v>366</v>
      </c>
      <c r="D83" s="9">
        <v>1.0008999999999999</v>
      </c>
      <c r="E83" s="56">
        <v>21.47</v>
      </c>
      <c r="F83" s="56">
        <f t="shared" si="4"/>
        <v>3.0052422819462485</v>
      </c>
      <c r="G83" s="3">
        <v>6.25</v>
      </c>
      <c r="H83" s="3">
        <v>0</v>
      </c>
      <c r="I83" s="63">
        <f t="shared" si="5"/>
        <v>18.782764262164054</v>
      </c>
      <c r="J83" s="101" t="s">
        <v>10</v>
      </c>
      <c r="K83" s="101" t="s">
        <v>10</v>
      </c>
      <c r="L83" s="101" t="s">
        <v>10</v>
      </c>
      <c r="M83" s="3" t="s">
        <v>14</v>
      </c>
      <c r="N83" s="3" t="s">
        <v>15</v>
      </c>
      <c r="O83" s="202" t="s">
        <v>10</v>
      </c>
      <c r="P83" s="202"/>
      <c r="Q83" s="202"/>
    </row>
    <row r="84" spans="1:17" hidden="1" x14ac:dyDescent="0.3">
      <c r="A84" s="61">
        <v>43203</v>
      </c>
      <c r="B84" s="3" t="s">
        <v>370</v>
      </c>
      <c r="C84" s="2" t="s">
        <v>369</v>
      </c>
      <c r="D84" s="9">
        <v>1.0004</v>
      </c>
      <c r="E84" s="56">
        <v>26.898</v>
      </c>
      <c r="F84" s="56">
        <f>+E84*0.1*14.01/((D84-(D84*'GRASA AOAC 920.39'!I113/100))*10)</f>
        <v>5.2212896434280758</v>
      </c>
      <c r="G84" s="3">
        <v>6.38</v>
      </c>
      <c r="H84" s="56" t="e">
        <f>+#REF!</f>
        <v>#REF!</v>
      </c>
      <c r="I84" s="63" t="e">
        <f t="shared" si="5"/>
        <v>#REF!</v>
      </c>
      <c r="J84" s="101" t="s">
        <v>10</v>
      </c>
      <c r="K84" s="101" t="s">
        <v>10</v>
      </c>
      <c r="L84" s="101" t="s">
        <v>10</v>
      </c>
      <c r="M84" s="3" t="s">
        <v>14</v>
      </c>
      <c r="N84" s="3" t="s">
        <v>15</v>
      </c>
      <c r="O84" s="202" t="s">
        <v>10</v>
      </c>
      <c r="P84" s="202"/>
      <c r="Q84" s="202"/>
    </row>
    <row r="85" spans="1:17" hidden="1" x14ac:dyDescent="0.3">
      <c r="A85" s="61">
        <v>43202</v>
      </c>
      <c r="B85" s="3" t="s">
        <v>374</v>
      </c>
      <c r="C85" s="2" t="s">
        <v>375</v>
      </c>
      <c r="D85" s="9">
        <v>1.0008999999999999</v>
      </c>
      <c r="E85" s="56">
        <v>0.56799999999999995</v>
      </c>
      <c r="F85" s="56">
        <f>+E85*0.1*14.01/((D85-(D85*'GRASA AOAC 920.39'!I114/100))*10)</f>
        <v>8.1768181206579957E-2</v>
      </c>
      <c r="G85" s="3">
        <v>6.25</v>
      </c>
      <c r="H85" s="3">
        <v>0</v>
      </c>
      <c r="I85" s="63">
        <f t="shared" si="5"/>
        <v>0.51105113254112478</v>
      </c>
      <c r="J85" s="101" t="s">
        <v>10</v>
      </c>
      <c r="K85" s="101" t="s">
        <v>10</v>
      </c>
      <c r="L85" s="101" t="s">
        <v>10</v>
      </c>
      <c r="M85" s="3" t="s">
        <v>14</v>
      </c>
      <c r="N85" s="3" t="s">
        <v>15</v>
      </c>
      <c r="O85" s="202" t="s">
        <v>10</v>
      </c>
      <c r="P85" s="202"/>
      <c r="Q85" s="202"/>
    </row>
    <row r="86" spans="1:17" hidden="1" x14ac:dyDescent="0.3">
      <c r="A86" s="61">
        <v>43207</v>
      </c>
      <c r="B86" s="3" t="s">
        <v>376</v>
      </c>
      <c r="C86" s="2" t="s">
        <v>377</v>
      </c>
      <c r="D86" s="9">
        <v>1.0008999999999999</v>
      </c>
      <c r="E86" s="56">
        <v>21.308</v>
      </c>
      <c r="F86" s="56" t="e">
        <f>+E86*0.1*14.01/((D86-(D86*'GRASA AOAC 920.39'!I115/100))*10)</f>
        <v>#REF!</v>
      </c>
      <c r="G86" s="3">
        <v>6.25</v>
      </c>
      <c r="H86" s="3">
        <v>0</v>
      </c>
      <c r="I86" s="63" t="e">
        <f t="shared" si="5"/>
        <v>#REF!</v>
      </c>
      <c r="J86" s="101" t="s">
        <v>10</v>
      </c>
      <c r="K86" s="101" t="s">
        <v>10</v>
      </c>
      <c r="L86" s="101" t="s">
        <v>10</v>
      </c>
      <c r="M86" s="3" t="s">
        <v>14</v>
      </c>
      <c r="N86" s="3" t="s">
        <v>15</v>
      </c>
      <c r="O86" s="202" t="s">
        <v>10</v>
      </c>
      <c r="P86" s="202"/>
      <c r="Q86" s="202"/>
    </row>
    <row r="87" spans="1:17" hidden="1" x14ac:dyDescent="0.3">
      <c r="A87" s="61">
        <v>43203</v>
      </c>
      <c r="B87" s="3" t="s">
        <v>379</v>
      </c>
      <c r="C87" s="2" t="s">
        <v>378</v>
      </c>
      <c r="D87" s="9">
        <v>1.0003</v>
      </c>
      <c r="E87" s="56">
        <v>10.874000000000001</v>
      </c>
      <c r="F87" s="56" t="e">
        <f>+E87*0.1*14.01/((D87-(D87*'GRASA AOAC 920.39'!I116/100))*10)</f>
        <v>#REF!</v>
      </c>
      <c r="G87" s="3">
        <v>6.25</v>
      </c>
      <c r="H87" s="3">
        <v>0</v>
      </c>
      <c r="I87" s="63" t="e">
        <f t="shared" si="5"/>
        <v>#REF!</v>
      </c>
      <c r="J87" s="101" t="s">
        <v>10</v>
      </c>
      <c r="K87" s="101" t="s">
        <v>10</v>
      </c>
      <c r="L87" s="101" t="s">
        <v>10</v>
      </c>
      <c r="M87" s="3" t="s">
        <v>14</v>
      </c>
      <c r="N87" s="3" t="s">
        <v>15</v>
      </c>
      <c r="O87" s="202" t="s">
        <v>10</v>
      </c>
      <c r="P87" s="202"/>
      <c r="Q87" s="202"/>
    </row>
    <row r="88" spans="1:17" hidden="1" x14ac:dyDescent="0.3">
      <c r="A88" s="61">
        <v>43207</v>
      </c>
      <c r="B88" s="3" t="s">
        <v>381</v>
      </c>
      <c r="C88" s="2" t="s">
        <v>382</v>
      </c>
      <c r="D88" s="9">
        <f>+'FIBRA DIETARIA KIT'!H50</f>
        <v>0.54009999999999536</v>
      </c>
      <c r="E88" s="56">
        <v>9.6159999999999997</v>
      </c>
      <c r="F88" s="56">
        <f t="shared" ref="F88:F145" si="6">+E88*0.1*14.01/(D88*10)</f>
        <v>2.4943558600259426</v>
      </c>
      <c r="G88" s="3">
        <v>6.25</v>
      </c>
      <c r="H88" s="3">
        <v>0</v>
      </c>
      <c r="I88" s="63">
        <f t="shared" si="5"/>
        <v>15.589724125162141</v>
      </c>
      <c r="J88" s="101" t="s">
        <v>10</v>
      </c>
      <c r="K88" s="101" t="s">
        <v>10</v>
      </c>
      <c r="L88" s="101" t="s">
        <v>10</v>
      </c>
      <c r="M88" s="3" t="s">
        <v>14</v>
      </c>
      <c r="N88" s="3" t="s">
        <v>15</v>
      </c>
      <c r="O88" s="202" t="s">
        <v>10</v>
      </c>
      <c r="P88" s="202"/>
      <c r="Q88" s="202"/>
    </row>
    <row r="89" spans="1:17" hidden="1" x14ac:dyDescent="0.3">
      <c r="A89" s="61">
        <v>43207</v>
      </c>
      <c r="B89" s="3" t="s">
        <v>381</v>
      </c>
      <c r="C89" s="2" t="s">
        <v>383</v>
      </c>
      <c r="D89" s="9">
        <f>+'FIBRA DIETARIA KIT'!H52</f>
        <v>3.4900000000000375E-2</v>
      </c>
      <c r="E89" s="56">
        <v>8.6999999999999994E-2</v>
      </c>
      <c r="F89" s="56">
        <f t="shared" si="6"/>
        <v>0.3492464183381051</v>
      </c>
      <c r="G89" s="3">
        <v>6.25</v>
      </c>
      <c r="H89" s="3">
        <v>0</v>
      </c>
      <c r="I89" s="63">
        <f t="shared" si="5"/>
        <v>2.182790114613157</v>
      </c>
      <c r="J89" s="101" t="s">
        <v>10</v>
      </c>
      <c r="K89" s="101" t="s">
        <v>10</v>
      </c>
      <c r="L89" s="101" t="s">
        <v>10</v>
      </c>
      <c r="M89" s="3" t="s">
        <v>14</v>
      </c>
      <c r="N89" s="3" t="s">
        <v>15</v>
      </c>
      <c r="O89" s="202" t="s">
        <v>10</v>
      </c>
      <c r="P89" s="202"/>
      <c r="Q89" s="202"/>
    </row>
    <row r="90" spans="1:17" hidden="1" x14ac:dyDescent="0.3">
      <c r="A90" s="61">
        <v>43207</v>
      </c>
      <c r="B90" s="3" t="s">
        <v>127</v>
      </c>
      <c r="C90" s="2" t="s">
        <v>388</v>
      </c>
      <c r="D90" s="9">
        <v>9.8299999999999998E-2</v>
      </c>
      <c r="E90" s="56">
        <v>6.39</v>
      </c>
      <c r="F90" s="56">
        <f t="shared" si="6"/>
        <v>9.1072126144455741</v>
      </c>
      <c r="G90" s="3">
        <v>6.25</v>
      </c>
      <c r="H90" s="3">
        <v>0</v>
      </c>
      <c r="I90" s="63">
        <f t="shared" si="5"/>
        <v>56.920078840284837</v>
      </c>
      <c r="J90" s="101" t="s">
        <v>10</v>
      </c>
      <c r="K90" s="101" t="s">
        <v>10</v>
      </c>
      <c r="L90" s="101" t="s">
        <v>10</v>
      </c>
      <c r="M90" s="3" t="s">
        <v>14</v>
      </c>
      <c r="N90" s="3" t="s">
        <v>15</v>
      </c>
      <c r="O90" s="202" t="s">
        <v>10</v>
      </c>
      <c r="P90" s="202"/>
      <c r="Q90" s="202"/>
    </row>
    <row r="91" spans="1:17" hidden="1" x14ac:dyDescent="0.3">
      <c r="A91" s="61">
        <v>43207</v>
      </c>
      <c r="B91" s="3" t="s">
        <v>390</v>
      </c>
      <c r="C91" s="2" t="s">
        <v>389</v>
      </c>
      <c r="D91" s="9">
        <v>1.0002</v>
      </c>
      <c r="E91" s="56">
        <v>11.906000000000001</v>
      </c>
      <c r="F91" s="56">
        <f t="shared" si="6"/>
        <v>1.6676970605878827</v>
      </c>
      <c r="G91" s="3">
        <v>6.25</v>
      </c>
      <c r="H91" s="3">
        <v>0</v>
      </c>
      <c r="I91" s="63">
        <f t="shared" si="5"/>
        <v>10.423106628674267</v>
      </c>
      <c r="J91" s="101" t="s">
        <v>10</v>
      </c>
      <c r="K91" s="101" t="s">
        <v>10</v>
      </c>
      <c r="L91" s="101" t="s">
        <v>10</v>
      </c>
      <c r="M91" s="3" t="s">
        <v>14</v>
      </c>
      <c r="N91" s="3" t="s">
        <v>15</v>
      </c>
      <c r="O91" s="202" t="s">
        <v>10</v>
      </c>
      <c r="P91" s="202"/>
      <c r="Q91" s="202"/>
    </row>
    <row r="92" spans="1:17" hidden="1" x14ac:dyDescent="0.3">
      <c r="A92" s="61">
        <v>43207</v>
      </c>
      <c r="B92" s="3" t="s">
        <v>127</v>
      </c>
      <c r="C92" s="2" t="s">
        <v>391</v>
      </c>
      <c r="D92" s="9">
        <v>1.0008999999999999</v>
      </c>
      <c r="E92" s="56">
        <v>7.0119999999999996</v>
      </c>
      <c r="F92" s="56">
        <f t="shared" si="6"/>
        <v>0.98149785193326022</v>
      </c>
      <c r="G92" s="3">
        <v>6.38</v>
      </c>
      <c r="H92" s="3">
        <v>0</v>
      </c>
      <c r="I92" s="63">
        <f t="shared" si="5"/>
        <v>6.2619562953342003</v>
      </c>
      <c r="J92" s="101" t="s">
        <v>10</v>
      </c>
      <c r="K92" s="101" t="s">
        <v>10</v>
      </c>
      <c r="L92" s="101" t="s">
        <v>10</v>
      </c>
      <c r="M92" s="3" t="s">
        <v>14</v>
      </c>
      <c r="N92" s="3" t="s">
        <v>15</v>
      </c>
      <c r="O92" s="202" t="s">
        <v>10</v>
      </c>
      <c r="P92" s="202"/>
      <c r="Q92" s="202"/>
    </row>
    <row r="93" spans="1:17" hidden="1" x14ac:dyDescent="0.3">
      <c r="A93" s="61">
        <v>43207</v>
      </c>
      <c r="B93" s="3" t="s">
        <v>392</v>
      </c>
      <c r="C93" s="2" t="s">
        <v>400</v>
      </c>
      <c r="D93" s="9">
        <v>1.0008999999999999</v>
      </c>
      <c r="E93" s="56">
        <v>11.298</v>
      </c>
      <c r="F93" s="56">
        <f t="shared" si="6"/>
        <v>1.5814265161354784</v>
      </c>
      <c r="G93" s="3">
        <v>6.38</v>
      </c>
      <c r="H93" s="3">
        <v>0</v>
      </c>
      <c r="I93" s="63">
        <f t="shared" si="5"/>
        <v>10.089501172944352</v>
      </c>
      <c r="J93" s="101" t="s">
        <v>10</v>
      </c>
      <c r="K93" s="101" t="s">
        <v>10</v>
      </c>
      <c r="L93" s="101" t="s">
        <v>10</v>
      </c>
      <c r="M93" s="3" t="s">
        <v>14</v>
      </c>
      <c r="N93" s="3" t="s">
        <v>15</v>
      </c>
      <c r="O93" s="202" t="s">
        <v>10</v>
      </c>
      <c r="P93" s="202"/>
      <c r="Q93" s="202"/>
    </row>
    <row r="94" spans="1:17" hidden="1" x14ac:dyDescent="0.3">
      <c r="A94" s="61">
        <v>43207</v>
      </c>
      <c r="B94" s="3" t="s">
        <v>393</v>
      </c>
      <c r="C94" s="2" t="s">
        <v>401</v>
      </c>
      <c r="D94" s="9">
        <v>1.0008999999999999</v>
      </c>
      <c r="E94" s="56">
        <v>8.5359999999999996</v>
      </c>
      <c r="F94" s="56">
        <f t="shared" si="6"/>
        <v>1.1948182635627935</v>
      </c>
      <c r="G94" s="3">
        <v>6.38</v>
      </c>
      <c r="H94" s="3">
        <v>0</v>
      </c>
      <c r="I94" s="63">
        <f t="shared" si="5"/>
        <v>7.622940521530623</v>
      </c>
      <c r="J94" s="101" t="s">
        <v>10</v>
      </c>
      <c r="K94" s="101" t="s">
        <v>10</v>
      </c>
      <c r="L94" s="101" t="s">
        <v>10</v>
      </c>
      <c r="M94" s="3" t="s">
        <v>14</v>
      </c>
      <c r="N94" s="3" t="s">
        <v>15</v>
      </c>
      <c r="O94" s="202" t="s">
        <v>10</v>
      </c>
      <c r="P94" s="202"/>
      <c r="Q94" s="202"/>
    </row>
    <row r="95" spans="1:17" hidden="1" x14ac:dyDescent="0.3">
      <c r="A95" s="61">
        <v>43207</v>
      </c>
      <c r="B95" s="3" t="s">
        <v>394</v>
      </c>
      <c r="C95" s="2" t="s">
        <v>402</v>
      </c>
      <c r="D95" s="9">
        <v>1.0008999999999999</v>
      </c>
      <c r="E95" s="56">
        <v>9.1679999999999993</v>
      </c>
      <c r="F95" s="56">
        <f t="shared" si="6"/>
        <v>1.2832818463382956</v>
      </c>
      <c r="G95" s="3">
        <v>6.38</v>
      </c>
      <c r="H95" s="3">
        <v>0</v>
      </c>
      <c r="I95" s="63">
        <f t="shared" si="5"/>
        <v>8.187338179638326</v>
      </c>
      <c r="J95" s="101" t="s">
        <v>10</v>
      </c>
      <c r="K95" s="101" t="s">
        <v>10</v>
      </c>
      <c r="L95" s="101" t="s">
        <v>10</v>
      </c>
      <c r="M95" s="3" t="s">
        <v>14</v>
      </c>
      <c r="N95" s="3" t="s">
        <v>15</v>
      </c>
      <c r="O95" s="202" t="s">
        <v>10</v>
      </c>
      <c r="P95" s="202"/>
      <c r="Q95" s="202"/>
    </row>
    <row r="96" spans="1:17" hidden="1" x14ac:dyDescent="0.3">
      <c r="A96" s="61">
        <v>43207</v>
      </c>
      <c r="B96" s="3" t="s">
        <v>395</v>
      </c>
      <c r="C96" s="2" t="s">
        <v>403</v>
      </c>
      <c r="D96" s="9">
        <v>1.0003</v>
      </c>
      <c r="E96" s="56">
        <v>8.3320000000000007</v>
      </c>
      <c r="F96" s="56">
        <f t="shared" si="6"/>
        <v>1.1669631110666803</v>
      </c>
      <c r="G96" s="3">
        <v>6.38</v>
      </c>
      <c r="H96" s="3">
        <v>0</v>
      </c>
      <c r="I96" s="63">
        <f t="shared" si="5"/>
        <v>7.4452246486054197</v>
      </c>
      <c r="J96" s="101" t="s">
        <v>10</v>
      </c>
      <c r="K96" s="101" t="s">
        <v>10</v>
      </c>
      <c r="L96" s="101" t="s">
        <v>10</v>
      </c>
      <c r="M96" s="3" t="s">
        <v>14</v>
      </c>
      <c r="N96" s="3" t="s">
        <v>15</v>
      </c>
      <c r="O96" s="202" t="s">
        <v>10</v>
      </c>
      <c r="P96" s="202"/>
      <c r="Q96" s="202"/>
    </row>
    <row r="97" spans="1:17" hidden="1" x14ac:dyDescent="0.3">
      <c r="A97" s="61">
        <v>43207</v>
      </c>
      <c r="B97" s="3" t="s">
        <v>396</v>
      </c>
      <c r="C97" s="2" t="s">
        <v>404</v>
      </c>
      <c r="D97" s="9">
        <v>1.0002</v>
      </c>
      <c r="E97" s="56">
        <v>8.3420000000000005</v>
      </c>
      <c r="F97" s="56">
        <f t="shared" si="6"/>
        <v>1.1684805038992203</v>
      </c>
      <c r="G97" s="3">
        <v>6.38</v>
      </c>
      <c r="H97" s="3">
        <v>0</v>
      </c>
      <c r="I97" s="63">
        <f t="shared" si="5"/>
        <v>7.4549056148770259</v>
      </c>
      <c r="J97" s="101" t="s">
        <v>10</v>
      </c>
      <c r="K97" s="101" t="s">
        <v>10</v>
      </c>
      <c r="L97" s="101" t="s">
        <v>10</v>
      </c>
      <c r="M97" s="3" t="s">
        <v>14</v>
      </c>
      <c r="N97" s="3" t="s">
        <v>15</v>
      </c>
      <c r="O97" s="202" t="s">
        <v>10</v>
      </c>
      <c r="P97" s="202"/>
      <c r="Q97" s="202"/>
    </row>
    <row r="98" spans="1:17" hidden="1" x14ac:dyDescent="0.3">
      <c r="A98" s="61">
        <v>43207</v>
      </c>
      <c r="B98" s="3" t="s">
        <v>397</v>
      </c>
      <c r="C98" s="2" t="s">
        <v>405</v>
      </c>
      <c r="D98" s="9">
        <v>1.0002</v>
      </c>
      <c r="E98" s="56">
        <v>9.1940000000000008</v>
      </c>
      <c r="F98" s="56">
        <f t="shared" si="6"/>
        <v>1.2878218356328737</v>
      </c>
      <c r="G98" s="3">
        <v>6.38</v>
      </c>
      <c r="H98" s="3">
        <v>0</v>
      </c>
      <c r="I98" s="63">
        <f t="shared" si="5"/>
        <v>8.2163033113377342</v>
      </c>
      <c r="J98" s="101" t="s">
        <v>10</v>
      </c>
      <c r="K98" s="101" t="s">
        <v>10</v>
      </c>
      <c r="L98" s="101" t="s">
        <v>10</v>
      </c>
      <c r="M98" s="3" t="s">
        <v>14</v>
      </c>
      <c r="N98" s="3" t="s">
        <v>15</v>
      </c>
      <c r="O98" s="202" t="s">
        <v>10</v>
      </c>
      <c r="P98" s="202"/>
      <c r="Q98" s="202"/>
    </row>
    <row r="99" spans="1:17" hidden="1" x14ac:dyDescent="0.3">
      <c r="A99" s="61">
        <v>43213</v>
      </c>
      <c r="B99" s="3" t="s">
        <v>409</v>
      </c>
      <c r="C99" s="2" t="s">
        <v>406</v>
      </c>
      <c r="D99" s="9">
        <v>1.0008999999999999</v>
      </c>
      <c r="E99" s="56">
        <v>9.0220000000000002</v>
      </c>
      <c r="F99" s="56">
        <f t="shared" si="6"/>
        <v>1.2628456389249678</v>
      </c>
      <c r="G99" s="3">
        <v>6.38</v>
      </c>
      <c r="H99" s="3">
        <v>0</v>
      </c>
      <c r="I99" s="63">
        <f t="shared" si="5"/>
        <v>8.0569551763412939</v>
      </c>
      <c r="J99" s="101" t="s">
        <v>10</v>
      </c>
      <c r="K99" s="101" t="s">
        <v>10</v>
      </c>
      <c r="L99" s="101" t="s">
        <v>10</v>
      </c>
      <c r="M99" s="3" t="s">
        <v>14</v>
      </c>
      <c r="N99" s="3" t="s">
        <v>15</v>
      </c>
      <c r="O99" s="202" t="s">
        <v>10</v>
      </c>
      <c r="P99" s="202"/>
      <c r="Q99" s="202"/>
    </row>
    <row r="100" spans="1:17" hidden="1" x14ac:dyDescent="0.3">
      <c r="A100" s="61">
        <v>43213</v>
      </c>
      <c r="B100" s="3" t="s">
        <v>398</v>
      </c>
      <c r="C100" s="2" t="s">
        <v>407</v>
      </c>
      <c r="D100" s="9">
        <v>1.0006999999999999</v>
      </c>
      <c r="E100" s="56">
        <v>10.119999999999999</v>
      </c>
      <c r="F100" s="56">
        <f t="shared" si="6"/>
        <v>1.4168202258419107</v>
      </c>
      <c r="G100" s="3">
        <v>6.38</v>
      </c>
      <c r="H100" s="3">
        <v>0</v>
      </c>
      <c r="I100" s="63">
        <f t="shared" si="5"/>
        <v>9.0393130408713898</v>
      </c>
      <c r="J100" s="101" t="s">
        <v>10</v>
      </c>
      <c r="K100" s="101" t="s">
        <v>10</v>
      </c>
      <c r="L100" s="101" t="s">
        <v>10</v>
      </c>
      <c r="M100" s="3" t="s">
        <v>14</v>
      </c>
      <c r="N100" s="3" t="s">
        <v>15</v>
      </c>
      <c r="O100" s="202" t="s">
        <v>10</v>
      </c>
      <c r="P100" s="202"/>
      <c r="Q100" s="202"/>
    </row>
    <row r="101" spans="1:17" hidden="1" x14ac:dyDescent="0.3">
      <c r="A101" s="61">
        <v>43213</v>
      </c>
      <c r="B101" s="3" t="s">
        <v>399</v>
      </c>
      <c r="C101" s="2" t="s">
        <v>408</v>
      </c>
      <c r="D101" s="9">
        <v>1.0002</v>
      </c>
      <c r="E101" s="56">
        <v>9.73</v>
      </c>
      <c r="F101" s="56">
        <f t="shared" si="6"/>
        <v>1.3629004199160171</v>
      </c>
      <c r="G101" s="3">
        <v>6.38</v>
      </c>
      <c r="H101" s="3">
        <v>0</v>
      </c>
      <c r="I101" s="63">
        <f t="shared" si="5"/>
        <v>8.6953046790641881</v>
      </c>
      <c r="J101" s="101" t="s">
        <v>10</v>
      </c>
      <c r="K101" s="101" t="s">
        <v>10</v>
      </c>
      <c r="L101" s="101" t="s">
        <v>10</v>
      </c>
      <c r="M101" s="3" t="s">
        <v>14</v>
      </c>
      <c r="N101" s="3" t="s">
        <v>15</v>
      </c>
      <c r="O101" s="202" t="s">
        <v>10</v>
      </c>
      <c r="P101" s="202"/>
      <c r="Q101" s="202"/>
    </row>
    <row r="102" spans="1:17" hidden="1" x14ac:dyDescent="0.3">
      <c r="A102" s="61">
        <v>43216</v>
      </c>
      <c r="B102" s="3" t="s">
        <v>440</v>
      </c>
      <c r="C102" s="2" t="s">
        <v>439</v>
      </c>
      <c r="D102" s="9">
        <v>1.0008999999999999</v>
      </c>
      <c r="E102" s="56">
        <v>3.6240000000000001</v>
      </c>
      <c r="F102" s="56">
        <f t="shared" si="6"/>
        <v>0.50726586072534741</v>
      </c>
      <c r="G102" s="3">
        <v>6.25</v>
      </c>
      <c r="H102" s="3">
        <v>0</v>
      </c>
      <c r="I102" s="63">
        <f t="shared" si="5"/>
        <v>3.1704116295334215</v>
      </c>
      <c r="J102" s="101" t="s">
        <v>10</v>
      </c>
      <c r="K102" s="101" t="s">
        <v>10</v>
      </c>
      <c r="L102" s="101" t="s">
        <v>10</v>
      </c>
      <c r="M102" s="3" t="s">
        <v>14</v>
      </c>
      <c r="N102" s="3" t="s">
        <v>15</v>
      </c>
      <c r="O102" s="202" t="s">
        <v>10</v>
      </c>
      <c r="P102" s="202"/>
      <c r="Q102" s="202"/>
    </row>
    <row r="103" spans="1:17" hidden="1" x14ac:dyDescent="0.3">
      <c r="A103" s="61">
        <v>43216</v>
      </c>
      <c r="B103" s="3" t="s">
        <v>442</v>
      </c>
      <c r="C103" s="2" t="s">
        <v>441</v>
      </c>
      <c r="D103" s="9">
        <v>1.0006999999999999</v>
      </c>
      <c r="E103" s="56">
        <v>12.506</v>
      </c>
      <c r="F103" s="56">
        <f t="shared" si="6"/>
        <v>1.7508649945038477</v>
      </c>
      <c r="G103" s="3">
        <v>6.25</v>
      </c>
      <c r="H103" s="3">
        <v>0</v>
      </c>
      <c r="I103" s="63">
        <f t="shared" si="5"/>
        <v>10.942906215649048</v>
      </c>
      <c r="J103" s="101" t="s">
        <v>10</v>
      </c>
      <c r="K103" s="101" t="s">
        <v>10</v>
      </c>
      <c r="L103" s="101" t="s">
        <v>10</v>
      </c>
      <c r="M103" s="3" t="s">
        <v>14</v>
      </c>
      <c r="N103" s="3" t="s">
        <v>15</v>
      </c>
      <c r="O103" s="202" t="s">
        <v>10</v>
      </c>
      <c r="P103" s="202"/>
      <c r="Q103" s="202"/>
    </row>
    <row r="104" spans="1:17" hidden="1" x14ac:dyDescent="0.3">
      <c r="A104" s="61">
        <v>43222</v>
      </c>
      <c r="B104" s="3" t="s">
        <v>443</v>
      </c>
      <c r="C104" s="2" t="s">
        <v>446</v>
      </c>
      <c r="D104" s="9">
        <v>1.0003</v>
      </c>
      <c r="E104" s="56">
        <v>6.0839999999999996</v>
      </c>
      <c r="F104" s="56">
        <f t="shared" si="6"/>
        <v>0.85211276617014908</v>
      </c>
      <c r="G104" s="3">
        <v>6.25</v>
      </c>
      <c r="H104" s="3">
        <v>0</v>
      </c>
      <c r="I104" s="63">
        <f t="shared" si="5"/>
        <v>5.3257047885634314</v>
      </c>
      <c r="J104" s="101" t="s">
        <v>10</v>
      </c>
      <c r="K104" s="101" t="s">
        <v>10</v>
      </c>
      <c r="L104" s="101" t="s">
        <v>10</v>
      </c>
      <c r="M104" s="3" t="s">
        <v>14</v>
      </c>
      <c r="N104" s="3" t="s">
        <v>15</v>
      </c>
      <c r="O104" s="202" t="s">
        <v>10</v>
      </c>
      <c r="P104" s="202"/>
      <c r="Q104" s="202"/>
    </row>
    <row r="105" spans="1:17" hidden="1" x14ac:dyDescent="0.3">
      <c r="A105" s="61">
        <v>43222</v>
      </c>
      <c r="B105" s="3" t="s">
        <v>444</v>
      </c>
      <c r="C105" s="2" t="s">
        <v>447</v>
      </c>
      <c r="D105" s="9">
        <v>1.0006999999999999</v>
      </c>
      <c r="E105" s="56">
        <v>14.622</v>
      </c>
      <c r="F105" s="56">
        <f t="shared" si="6"/>
        <v>2.04710922354352</v>
      </c>
      <c r="G105" s="3">
        <v>6.25</v>
      </c>
      <c r="H105" s="3">
        <v>0</v>
      </c>
      <c r="I105" s="63">
        <f t="shared" si="5"/>
        <v>12.794432647147</v>
      </c>
      <c r="J105" s="101" t="s">
        <v>10</v>
      </c>
      <c r="K105" s="101" t="s">
        <v>10</v>
      </c>
      <c r="L105" s="101" t="s">
        <v>10</v>
      </c>
      <c r="M105" s="3" t="s">
        <v>14</v>
      </c>
      <c r="N105" s="3" t="s">
        <v>15</v>
      </c>
      <c r="O105" s="202" t="s">
        <v>10</v>
      </c>
      <c r="P105" s="202"/>
      <c r="Q105" s="202"/>
    </row>
    <row r="106" spans="1:17" hidden="1" x14ac:dyDescent="0.3">
      <c r="A106" s="61">
        <v>43222</v>
      </c>
      <c r="B106" s="3" t="s">
        <v>445</v>
      </c>
      <c r="C106" s="2" t="s">
        <v>448</v>
      </c>
      <c r="D106" s="9">
        <v>1.0008999999999999</v>
      </c>
      <c r="E106" s="56">
        <v>3.96</v>
      </c>
      <c r="F106" s="56">
        <f t="shared" si="6"/>
        <v>0.55429713258067748</v>
      </c>
      <c r="G106" s="3">
        <v>6.25</v>
      </c>
      <c r="H106" s="3">
        <v>0</v>
      </c>
      <c r="I106" s="63">
        <f t="shared" si="5"/>
        <v>3.4643570786292344</v>
      </c>
      <c r="J106" s="101" t="s">
        <v>10</v>
      </c>
      <c r="K106" s="101" t="s">
        <v>10</v>
      </c>
      <c r="L106" s="101" t="s">
        <v>10</v>
      </c>
      <c r="M106" s="3" t="s">
        <v>14</v>
      </c>
      <c r="N106" s="3" t="s">
        <v>15</v>
      </c>
      <c r="O106" s="202" t="s">
        <v>10</v>
      </c>
      <c r="P106" s="202"/>
      <c r="Q106" s="202"/>
    </row>
    <row r="107" spans="1:17" hidden="1" x14ac:dyDescent="0.3">
      <c r="A107" s="61">
        <v>43227</v>
      </c>
      <c r="B107" s="15" t="s">
        <v>442</v>
      </c>
      <c r="C107" s="2" t="s">
        <v>449</v>
      </c>
      <c r="D107" s="9">
        <f>+'FIBRA DIETARIA KIT'!H55</f>
        <v>0.44490000000000407</v>
      </c>
      <c r="E107" s="56">
        <v>4.51</v>
      </c>
      <c r="F107" s="56">
        <f t="shared" si="6"/>
        <v>1.4202090357383552</v>
      </c>
      <c r="G107" s="3">
        <v>6.25</v>
      </c>
      <c r="H107" s="3">
        <v>0</v>
      </c>
      <c r="I107" s="63">
        <f t="shared" si="5"/>
        <v>8.8763064733647195</v>
      </c>
      <c r="J107" s="101" t="s">
        <v>10</v>
      </c>
      <c r="K107" s="101" t="s">
        <v>10</v>
      </c>
      <c r="L107" s="101" t="s">
        <v>10</v>
      </c>
      <c r="M107" s="3" t="s">
        <v>14</v>
      </c>
      <c r="N107" s="3" t="s">
        <v>15</v>
      </c>
      <c r="O107" s="202" t="s">
        <v>10</v>
      </c>
      <c r="P107" s="202"/>
      <c r="Q107" s="202"/>
    </row>
    <row r="108" spans="1:17" hidden="1" x14ac:dyDescent="0.3">
      <c r="A108" s="31">
        <v>43227</v>
      </c>
      <c r="B108" s="15" t="s">
        <v>442</v>
      </c>
      <c r="C108" s="2" t="s">
        <v>450</v>
      </c>
      <c r="D108" s="9">
        <f>+'FIBRA DIETARIA KIT'!H57</f>
        <v>0.10030000000000427</v>
      </c>
      <c r="E108" s="56">
        <v>0.87</v>
      </c>
      <c r="F108" s="56">
        <f t="shared" si="6"/>
        <v>1.2152243270188916</v>
      </c>
      <c r="G108" s="3">
        <v>6.25</v>
      </c>
      <c r="H108" s="3">
        <v>0</v>
      </c>
      <c r="I108" s="63">
        <f t="shared" si="5"/>
        <v>7.5951520438680724</v>
      </c>
      <c r="J108" s="101" t="s">
        <v>10</v>
      </c>
      <c r="K108" s="101" t="s">
        <v>10</v>
      </c>
      <c r="L108" s="101" t="s">
        <v>10</v>
      </c>
      <c r="M108" s="3" t="s">
        <v>14</v>
      </c>
      <c r="N108" s="3" t="s">
        <v>15</v>
      </c>
      <c r="O108" s="202" t="s">
        <v>10</v>
      </c>
      <c r="P108" s="202"/>
      <c r="Q108" s="202"/>
    </row>
    <row r="109" spans="1:17" hidden="1" x14ac:dyDescent="0.3">
      <c r="A109" s="31">
        <v>43214</v>
      </c>
      <c r="B109" s="3" t="s">
        <v>452</v>
      </c>
      <c r="C109" s="2" t="s">
        <v>451</v>
      </c>
      <c r="D109" s="9">
        <v>1.0004999999999999</v>
      </c>
      <c r="E109" s="56">
        <v>1.016</v>
      </c>
      <c r="F109" s="56">
        <f t="shared" si="6"/>
        <v>0.14227046476761621</v>
      </c>
      <c r="G109" s="3">
        <v>6.25</v>
      </c>
      <c r="H109" s="3">
        <v>0</v>
      </c>
      <c r="I109" s="63">
        <f t="shared" ref="I109:I140" si="7">+F109*G109*((100-H109)/100)</f>
        <v>0.88919040479760125</v>
      </c>
      <c r="J109" s="101" t="s">
        <v>10</v>
      </c>
      <c r="K109" s="101" t="s">
        <v>10</v>
      </c>
      <c r="L109" s="101" t="s">
        <v>10</v>
      </c>
      <c r="M109" s="3" t="s">
        <v>14</v>
      </c>
      <c r="N109" s="3" t="s">
        <v>15</v>
      </c>
      <c r="O109" s="202" t="s">
        <v>10</v>
      </c>
      <c r="P109" s="202"/>
      <c r="Q109" s="202"/>
    </row>
    <row r="110" spans="1:17" hidden="1" x14ac:dyDescent="0.3">
      <c r="A110" s="31">
        <v>43214</v>
      </c>
      <c r="B110" s="3" t="s">
        <v>455</v>
      </c>
      <c r="C110" s="2" t="s">
        <v>458</v>
      </c>
      <c r="D110" s="9">
        <v>1.0003</v>
      </c>
      <c r="E110" s="56">
        <v>0.66200000000000003</v>
      </c>
      <c r="F110" s="56">
        <f t="shared" si="6"/>
        <v>9.2718384484654609E-2</v>
      </c>
      <c r="G110" s="3">
        <v>6.25</v>
      </c>
      <c r="H110" s="3">
        <v>0</v>
      </c>
      <c r="I110" s="63">
        <f t="shared" si="7"/>
        <v>0.57948990302909131</v>
      </c>
      <c r="J110" s="101" t="s">
        <v>10</v>
      </c>
      <c r="K110" s="101" t="s">
        <v>10</v>
      </c>
      <c r="L110" s="101" t="s">
        <v>10</v>
      </c>
      <c r="M110" s="3" t="s">
        <v>14</v>
      </c>
      <c r="N110" s="3" t="s">
        <v>15</v>
      </c>
      <c r="O110" s="202" t="s">
        <v>10</v>
      </c>
      <c r="P110" s="202"/>
      <c r="Q110" s="202"/>
    </row>
    <row r="111" spans="1:17" hidden="1" x14ac:dyDescent="0.3">
      <c r="A111" s="31">
        <v>43214</v>
      </c>
      <c r="B111" s="3" t="s">
        <v>454</v>
      </c>
      <c r="C111" s="2" t="s">
        <v>453</v>
      </c>
      <c r="D111" s="9">
        <v>1.0004</v>
      </c>
      <c r="E111" s="56">
        <v>0.46200000000000002</v>
      </c>
      <c r="F111" s="56">
        <f t="shared" si="6"/>
        <v>6.4700319872051187E-2</v>
      </c>
      <c r="G111" s="3">
        <v>6.25</v>
      </c>
      <c r="H111" s="3">
        <v>0</v>
      </c>
      <c r="I111" s="63">
        <f t="shared" si="7"/>
        <v>0.40437699920031994</v>
      </c>
      <c r="J111" s="101" t="s">
        <v>10</v>
      </c>
      <c r="K111" s="101" t="s">
        <v>10</v>
      </c>
      <c r="L111" s="101" t="s">
        <v>10</v>
      </c>
      <c r="M111" s="3" t="s">
        <v>14</v>
      </c>
      <c r="N111" s="3" t="s">
        <v>15</v>
      </c>
      <c r="O111" s="202" t="s">
        <v>10</v>
      </c>
      <c r="P111" s="202"/>
      <c r="Q111" s="202"/>
    </row>
    <row r="112" spans="1:17" hidden="1" x14ac:dyDescent="0.3">
      <c r="A112" s="31">
        <v>43214</v>
      </c>
      <c r="B112" s="3" t="s">
        <v>456</v>
      </c>
      <c r="C112" s="2" t="s">
        <v>459</v>
      </c>
      <c r="D112" s="9">
        <v>1.0004999999999999</v>
      </c>
      <c r="E112" s="56">
        <v>0.66600000000000004</v>
      </c>
      <c r="F112" s="56">
        <f t="shared" si="6"/>
        <v>9.3259970014992519E-2</v>
      </c>
      <c r="G112" s="3">
        <v>6.25</v>
      </c>
      <c r="H112" s="3">
        <v>0</v>
      </c>
      <c r="I112" s="63">
        <f t="shared" si="7"/>
        <v>0.58287481259370322</v>
      </c>
      <c r="J112" s="101" t="s">
        <v>10</v>
      </c>
      <c r="K112" s="101" t="s">
        <v>10</v>
      </c>
      <c r="L112" s="101" t="s">
        <v>10</v>
      </c>
      <c r="M112" s="3" t="s">
        <v>14</v>
      </c>
      <c r="N112" s="3" t="s">
        <v>15</v>
      </c>
      <c r="O112" s="202" t="s">
        <v>10</v>
      </c>
      <c r="P112" s="202"/>
      <c r="Q112" s="202"/>
    </row>
    <row r="113" spans="1:17" hidden="1" x14ac:dyDescent="0.3">
      <c r="A113" s="31">
        <v>43214</v>
      </c>
      <c r="B113" s="3" t="s">
        <v>457</v>
      </c>
      <c r="C113" s="2" t="s">
        <v>460</v>
      </c>
      <c r="D113" s="9">
        <v>1.0003</v>
      </c>
      <c r="E113" s="56">
        <v>1.1639999999999999</v>
      </c>
      <c r="F113" s="56">
        <f t="shared" si="6"/>
        <v>0.16302749175247427</v>
      </c>
      <c r="G113" s="3">
        <v>6.25</v>
      </c>
      <c r="H113" s="3">
        <v>0</v>
      </c>
      <c r="I113" s="63">
        <f t="shared" si="7"/>
        <v>1.0189218234529642</v>
      </c>
      <c r="J113" s="101" t="s">
        <v>10</v>
      </c>
      <c r="K113" s="101" t="s">
        <v>10</v>
      </c>
      <c r="L113" s="101" t="s">
        <v>10</v>
      </c>
      <c r="M113" s="3" t="s">
        <v>14</v>
      </c>
      <c r="N113" s="3" t="s">
        <v>15</v>
      </c>
      <c r="O113" s="202" t="s">
        <v>10</v>
      </c>
      <c r="P113" s="202"/>
      <c r="Q113" s="202"/>
    </row>
    <row r="114" spans="1:17" hidden="1" x14ac:dyDescent="0.3">
      <c r="A114" s="31">
        <v>43227</v>
      </c>
      <c r="B114" s="3" t="s">
        <v>482</v>
      </c>
      <c r="C114" s="2" t="s">
        <v>483</v>
      </c>
      <c r="D114" s="9">
        <v>1.0008999999999999</v>
      </c>
      <c r="E114" s="56">
        <v>0.754</v>
      </c>
      <c r="F114" s="56">
        <f t="shared" si="6"/>
        <v>0.10554041362773506</v>
      </c>
      <c r="G114" s="3">
        <v>6.25</v>
      </c>
      <c r="H114" s="3">
        <v>0</v>
      </c>
      <c r="I114" s="63">
        <f t="shared" si="7"/>
        <v>0.65962758517334408</v>
      </c>
      <c r="J114" s="101" t="s">
        <v>10</v>
      </c>
      <c r="K114" s="101" t="s">
        <v>10</v>
      </c>
      <c r="L114" s="101" t="s">
        <v>10</v>
      </c>
      <c r="M114" s="3" t="s">
        <v>14</v>
      </c>
      <c r="N114" s="3" t="s">
        <v>15</v>
      </c>
      <c r="O114" s="202" t="s">
        <v>10</v>
      </c>
      <c r="P114" s="202"/>
      <c r="Q114" s="202"/>
    </row>
    <row r="115" spans="1:17" hidden="1" x14ac:dyDescent="0.3">
      <c r="A115" s="61">
        <v>43227</v>
      </c>
      <c r="B115" s="3" t="s">
        <v>470</v>
      </c>
      <c r="C115" s="2" t="s">
        <v>468</v>
      </c>
      <c r="D115" s="9">
        <v>1.0007999999999999</v>
      </c>
      <c r="E115" s="56">
        <v>11.263999999999999</v>
      </c>
      <c r="F115" s="56">
        <f t="shared" si="6"/>
        <v>1.5768249400479619</v>
      </c>
      <c r="G115" s="3">
        <v>6.38</v>
      </c>
      <c r="H115" s="3">
        <v>0</v>
      </c>
      <c r="I115" s="63">
        <f t="shared" si="7"/>
        <v>10.060143117505996</v>
      </c>
      <c r="J115" s="101" t="s">
        <v>10</v>
      </c>
      <c r="K115" s="101" t="s">
        <v>10</v>
      </c>
      <c r="L115" s="101" t="s">
        <v>10</v>
      </c>
      <c r="M115" s="3" t="s">
        <v>14</v>
      </c>
      <c r="N115" s="3" t="s">
        <v>15</v>
      </c>
      <c r="O115" s="202" t="s">
        <v>10</v>
      </c>
      <c r="P115" s="202"/>
      <c r="Q115" s="202"/>
    </row>
    <row r="116" spans="1:17" hidden="1" x14ac:dyDescent="0.3">
      <c r="A116" s="61">
        <v>43227</v>
      </c>
      <c r="B116" s="3" t="s">
        <v>469</v>
      </c>
      <c r="C116" s="2" t="s">
        <v>471</v>
      </c>
      <c r="D116" s="9">
        <v>1.0007999999999999</v>
      </c>
      <c r="E116" s="56">
        <v>23.007999999999999</v>
      </c>
      <c r="F116" s="56">
        <f t="shared" si="6"/>
        <v>3.2208441247002404</v>
      </c>
      <c r="G116" s="3">
        <v>6.25</v>
      </c>
      <c r="H116" s="3">
        <v>0</v>
      </c>
      <c r="I116" s="63">
        <f t="shared" si="7"/>
        <v>20.130275779376504</v>
      </c>
      <c r="J116" s="101" t="s">
        <v>10</v>
      </c>
      <c r="K116" s="101" t="s">
        <v>10</v>
      </c>
      <c r="L116" s="101" t="s">
        <v>10</v>
      </c>
      <c r="M116" s="3" t="s">
        <v>14</v>
      </c>
      <c r="N116" s="3" t="s">
        <v>15</v>
      </c>
      <c r="O116" s="202" t="s">
        <v>10</v>
      </c>
      <c r="P116" s="202"/>
      <c r="Q116" s="202"/>
    </row>
    <row r="117" spans="1:17" hidden="1" x14ac:dyDescent="0.3">
      <c r="A117" s="61">
        <v>43227</v>
      </c>
      <c r="B117" s="3" t="s">
        <v>472</v>
      </c>
      <c r="C117" s="2" t="s">
        <v>473</v>
      </c>
      <c r="D117" s="9">
        <v>1.0008999999999999</v>
      </c>
      <c r="E117" s="56">
        <v>22.225999999999999</v>
      </c>
      <c r="F117" s="56">
        <f t="shared" si="6"/>
        <v>3.1110626436207416</v>
      </c>
      <c r="G117" s="3">
        <v>6.25</v>
      </c>
      <c r="H117" s="3">
        <v>0</v>
      </c>
      <c r="I117" s="63">
        <f t="shared" si="7"/>
        <v>19.444141522629636</v>
      </c>
      <c r="J117" s="101" t="s">
        <v>10</v>
      </c>
      <c r="K117" s="101" t="s">
        <v>10</v>
      </c>
      <c r="L117" s="101" t="s">
        <v>10</v>
      </c>
      <c r="M117" s="3" t="s">
        <v>14</v>
      </c>
      <c r="N117" s="3" t="s">
        <v>15</v>
      </c>
      <c r="O117" s="202" t="s">
        <v>10</v>
      </c>
      <c r="P117" s="202"/>
      <c r="Q117" s="202"/>
    </row>
    <row r="118" spans="1:17" hidden="1" x14ac:dyDescent="0.3">
      <c r="A118" s="61">
        <v>43227</v>
      </c>
      <c r="B118" s="3" t="s">
        <v>474</v>
      </c>
      <c r="C118" s="2" t="s">
        <v>475</v>
      </c>
      <c r="D118" s="9">
        <v>1.0007999999999999</v>
      </c>
      <c r="E118" s="56">
        <v>21.844000000000001</v>
      </c>
      <c r="F118" s="56">
        <f t="shared" si="6"/>
        <v>3.0578980815347725</v>
      </c>
      <c r="G118" s="3">
        <v>6.25</v>
      </c>
      <c r="H118" s="3">
        <v>0</v>
      </c>
      <c r="I118" s="63">
        <f t="shared" si="7"/>
        <v>19.111863009592327</v>
      </c>
      <c r="J118" s="101" t="s">
        <v>10</v>
      </c>
      <c r="K118" s="101" t="s">
        <v>10</v>
      </c>
      <c r="L118" s="101" t="s">
        <v>10</v>
      </c>
      <c r="M118" s="3" t="s">
        <v>14</v>
      </c>
      <c r="N118" s="3" t="s">
        <v>15</v>
      </c>
      <c r="O118" s="202" t="s">
        <v>10</v>
      </c>
      <c r="P118" s="202"/>
      <c r="Q118" s="202"/>
    </row>
    <row r="119" spans="1:17" hidden="1" x14ac:dyDescent="0.3">
      <c r="A119" s="61">
        <v>43227</v>
      </c>
      <c r="B119" s="3" t="s">
        <v>476</v>
      </c>
      <c r="C119" s="2" t="s">
        <v>477</v>
      </c>
      <c r="D119" s="9">
        <v>1.0008999999999999</v>
      </c>
      <c r="E119" s="56">
        <v>24.986000000000001</v>
      </c>
      <c r="F119" s="56">
        <f t="shared" si="6"/>
        <v>3.4973909481466685</v>
      </c>
      <c r="G119" s="3">
        <v>6.25</v>
      </c>
      <c r="H119" s="3">
        <v>0</v>
      </c>
      <c r="I119" s="63">
        <f t="shared" si="7"/>
        <v>21.858693425916677</v>
      </c>
      <c r="J119" s="101" t="s">
        <v>10</v>
      </c>
      <c r="K119" s="101" t="s">
        <v>10</v>
      </c>
      <c r="L119" s="101" t="s">
        <v>10</v>
      </c>
      <c r="M119" s="3" t="s">
        <v>14</v>
      </c>
      <c r="N119" s="3" t="s">
        <v>15</v>
      </c>
      <c r="O119" s="202" t="s">
        <v>10</v>
      </c>
      <c r="P119" s="202"/>
      <c r="Q119" s="202"/>
    </row>
    <row r="120" spans="1:17" hidden="1" x14ac:dyDescent="0.3">
      <c r="A120" s="61">
        <v>43227</v>
      </c>
      <c r="B120" s="3" t="s">
        <v>479</v>
      </c>
      <c r="C120" s="2" t="s">
        <v>478</v>
      </c>
      <c r="D120" s="9">
        <v>1.0006999999999999</v>
      </c>
      <c r="E120" s="56">
        <v>22.876000000000001</v>
      </c>
      <c r="F120" s="56">
        <f t="shared" si="6"/>
        <v>3.2026857199960035</v>
      </c>
      <c r="G120" s="3">
        <v>6.25</v>
      </c>
      <c r="H120" s="3">
        <v>0</v>
      </c>
      <c r="I120" s="63">
        <f t="shared" si="7"/>
        <v>20.016785749975021</v>
      </c>
      <c r="J120" s="101" t="s">
        <v>10</v>
      </c>
      <c r="K120" s="101" t="s">
        <v>10</v>
      </c>
      <c r="L120" s="101" t="s">
        <v>10</v>
      </c>
      <c r="M120" s="3" t="s">
        <v>14</v>
      </c>
      <c r="N120" s="3" t="s">
        <v>15</v>
      </c>
      <c r="O120" s="202" t="s">
        <v>10</v>
      </c>
      <c r="P120" s="202"/>
      <c r="Q120" s="202"/>
    </row>
    <row r="121" spans="1:17" hidden="1" x14ac:dyDescent="0.3">
      <c r="A121" s="61">
        <v>43227</v>
      </c>
      <c r="B121" s="3" t="s">
        <v>480</v>
      </c>
      <c r="C121" s="2" t="s">
        <v>481</v>
      </c>
      <c r="D121" s="9">
        <v>1.0007999999999999</v>
      </c>
      <c r="E121" s="56">
        <v>22.986999999999998</v>
      </c>
      <c r="F121" s="56">
        <f t="shared" si="6"/>
        <v>3.2179043764988009</v>
      </c>
      <c r="G121" s="3">
        <v>6.25</v>
      </c>
      <c r="H121" s="3">
        <v>0</v>
      </c>
      <c r="I121" s="63">
        <f t="shared" si="7"/>
        <v>20.111902353117507</v>
      </c>
      <c r="J121" s="101" t="s">
        <v>10</v>
      </c>
      <c r="K121" s="101" t="s">
        <v>10</v>
      </c>
      <c r="L121" s="101" t="s">
        <v>10</v>
      </c>
      <c r="M121" s="3" t="s">
        <v>14</v>
      </c>
      <c r="N121" s="3" t="s">
        <v>15</v>
      </c>
      <c r="O121" s="202" t="s">
        <v>10</v>
      </c>
      <c r="P121" s="202"/>
      <c r="Q121" s="202"/>
    </row>
    <row r="122" spans="1:17" hidden="1" x14ac:dyDescent="0.3">
      <c r="A122" s="61">
        <v>43227</v>
      </c>
      <c r="B122" s="3" t="s">
        <v>462</v>
      </c>
      <c r="C122" s="2" t="s">
        <v>461</v>
      </c>
      <c r="D122" s="9">
        <v>1</v>
      </c>
      <c r="E122" s="56">
        <v>8.7579999999999991</v>
      </c>
      <c r="F122" s="56">
        <f t="shared" si="6"/>
        <v>1.2269957999999999</v>
      </c>
      <c r="G122" s="3">
        <v>6.25</v>
      </c>
      <c r="H122" s="3">
        <v>0</v>
      </c>
      <c r="I122" s="63">
        <f t="shared" si="7"/>
        <v>7.668723749999999</v>
      </c>
      <c r="J122" s="101" t="s">
        <v>10</v>
      </c>
      <c r="K122" s="101" t="s">
        <v>10</v>
      </c>
      <c r="L122" s="101" t="s">
        <v>10</v>
      </c>
      <c r="M122" s="3" t="s">
        <v>14</v>
      </c>
      <c r="N122" s="3" t="s">
        <v>15</v>
      </c>
      <c r="O122" s="202" t="s">
        <v>10</v>
      </c>
      <c r="P122" s="202"/>
      <c r="Q122" s="202"/>
    </row>
    <row r="123" spans="1:17" hidden="1" x14ac:dyDescent="0.3">
      <c r="A123" s="61">
        <v>43230</v>
      </c>
      <c r="B123" s="3" t="s">
        <v>485</v>
      </c>
      <c r="C123" s="2" t="s">
        <v>484</v>
      </c>
      <c r="D123" s="9">
        <v>1</v>
      </c>
      <c r="E123" s="56">
        <v>25.655999999999999</v>
      </c>
      <c r="F123" s="56">
        <f t="shared" si="6"/>
        <v>3.5944055999999995</v>
      </c>
      <c r="G123" s="3">
        <v>6.25</v>
      </c>
      <c r="H123" s="3">
        <v>0</v>
      </c>
      <c r="I123" s="63">
        <f t="shared" si="7"/>
        <v>22.465034999999997</v>
      </c>
      <c r="J123" s="101" t="s">
        <v>10</v>
      </c>
      <c r="K123" s="101" t="s">
        <v>10</v>
      </c>
      <c r="L123" s="101" t="s">
        <v>10</v>
      </c>
      <c r="M123" s="3" t="s">
        <v>14</v>
      </c>
      <c r="N123" s="3" t="s">
        <v>15</v>
      </c>
      <c r="O123" s="202" t="s">
        <v>10</v>
      </c>
      <c r="P123" s="202"/>
      <c r="Q123" s="202"/>
    </row>
    <row r="124" spans="1:17" hidden="1" x14ac:dyDescent="0.3">
      <c r="A124" s="61">
        <v>43231</v>
      </c>
      <c r="B124" s="3" t="s">
        <v>486</v>
      </c>
      <c r="C124" s="2" t="s">
        <v>488</v>
      </c>
      <c r="D124" s="9">
        <v>1.0004</v>
      </c>
      <c r="E124" s="56">
        <v>25.44</v>
      </c>
      <c r="F124" s="56">
        <f t="shared" si="6"/>
        <v>3.5627189124350265</v>
      </c>
      <c r="G124" s="3">
        <v>6.25</v>
      </c>
      <c r="H124" s="3">
        <v>0</v>
      </c>
      <c r="I124" s="63">
        <f t="shared" si="7"/>
        <v>22.266993202718915</v>
      </c>
      <c r="J124" s="101" t="s">
        <v>10</v>
      </c>
      <c r="K124" s="101" t="s">
        <v>10</v>
      </c>
      <c r="L124" s="101" t="s">
        <v>10</v>
      </c>
      <c r="M124" s="3" t="s">
        <v>14</v>
      </c>
      <c r="N124" s="3" t="s">
        <v>15</v>
      </c>
      <c r="O124" s="202" t="s">
        <v>10</v>
      </c>
      <c r="P124" s="202"/>
      <c r="Q124" s="202"/>
    </row>
    <row r="125" spans="1:17" hidden="1" x14ac:dyDescent="0.3">
      <c r="A125" s="61">
        <v>43232</v>
      </c>
      <c r="B125" s="3" t="s">
        <v>487</v>
      </c>
      <c r="C125" s="2" t="s">
        <v>489</v>
      </c>
      <c r="D125" s="9">
        <v>1.0006999999999999</v>
      </c>
      <c r="E125" s="56">
        <v>22.206</v>
      </c>
      <c r="F125" s="56">
        <f t="shared" si="6"/>
        <v>3.1088843809333468</v>
      </c>
      <c r="G125" s="3">
        <v>6.25</v>
      </c>
      <c r="H125" s="3">
        <v>0</v>
      </c>
      <c r="I125" s="63">
        <f t="shared" si="7"/>
        <v>19.430527380833418</v>
      </c>
      <c r="J125" s="101" t="s">
        <v>10</v>
      </c>
      <c r="K125" s="101" t="s">
        <v>10</v>
      </c>
      <c r="L125" s="101" t="s">
        <v>10</v>
      </c>
      <c r="M125" s="3" t="s">
        <v>14</v>
      </c>
      <c r="N125" s="3" t="s">
        <v>15</v>
      </c>
      <c r="O125" s="202" t="s">
        <v>10</v>
      </c>
      <c r="P125" s="202"/>
      <c r="Q125" s="202"/>
    </row>
    <row r="126" spans="1:17" hidden="1" x14ac:dyDescent="0.3">
      <c r="A126" s="61">
        <v>43229</v>
      </c>
      <c r="B126" s="3" t="s">
        <v>493</v>
      </c>
      <c r="C126" s="2" t="s">
        <v>492</v>
      </c>
      <c r="D126" s="9">
        <v>1.0004999999999999</v>
      </c>
      <c r="E126" s="56">
        <v>0.20200000000000001</v>
      </c>
      <c r="F126" s="56">
        <f t="shared" si="6"/>
        <v>2.8286056971514248E-2</v>
      </c>
      <c r="G126" s="3">
        <v>6.25</v>
      </c>
      <c r="H126" s="3">
        <v>0</v>
      </c>
      <c r="I126" s="63">
        <f t="shared" si="7"/>
        <v>0.17678785607196404</v>
      </c>
      <c r="J126" s="101" t="s">
        <v>10</v>
      </c>
      <c r="K126" s="101" t="s">
        <v>10</v>
      </c>
      <c r="L126" s="101" t="s">
        <v>10</v>
      </c>
      <c r="M126" s="3" t="s">
        <v>14</v>
      </c>
      <c r="N126" s="3" t="s">
        <v>15</v>
      </c>
      <c r="O126" s="202" t="s">
        <v>10</v>
      </c>
      <c r="P126" s="202"/>
      <c r="Q126" s="202"/>
    </row>
    <row r="127" spans="1:17" hidden="1" x14ac:dyDescent="0.3">
      <c r="A127" s="61">
        <v>43235</v>
      </c>
      <c r="B127" s="15" t="s">
        <v>495</v>
      </c>
      <c r="C127" s="2" t="s">
        <v>494</v>
      </c>
      <c r="D127" s="9">
        <f>+'FIBRA DIETARIA KIT'!H59</f>
        <v>5.8400000000006003E-2</v>
      </c>
      <c r="E127" s="56">
        <v>0.19</v>
      </c>
      <c r="F127" s="56">
        <f t="shared" si="6"/>
        <v>0.45580479452050116</v>
      </c>
      <c r="G127" s="3">
        <v>6.25</v>
      </c>
      <c r="H127" s="3">
        <v>0</v>
      </c>
      <c r="I127" s="63">
        <f t="shared" si="7"/>
        <v>2.8487799657531321</v>
      </c>
      <c r="J127" s="101" t="s">
        <v>10</v>
      </c>
      <c r="K127" s="101" t="s">
        <v>10</v>
      </c>
      <c r="L127" s="101" t="s">
        <v>10</v>
      </c>
      <c r="M127" s="3" t="s">
        <v>14</v>
      </c>
      <c r="N127" s="3" t="s">
        <v>15</v>
      </c>
      <c r="O127" s="202" t="s">
        <v>10</v>
      </c>
      <c r="P127" s="202"/>
      <c r="Q127" s="202"/>
    </row>
    <row r="128" spans="1:17" hidden="1" x14ac:dyDescent="0.3">
      <c r="A128" s="61">
        <v>43230</v>
      </c>
      <c r="B128" s="3" t="s">
        <v>497</v>
      </c>
      <c r="C128" s="2" t="s">
        <v>496</v>
      </c>
      <c r="D128" s="9">
        <v>1.0004999999999999</v>
      </c>
      <c r="E128" s="56">
        <v>108.73</v>
      </c>
      <c r="F128" s="56">
        <f t="shared" si="6"/>
        <v>15.225460269865071</v>
      </c>
      <c r="G128" s="3">
        <v>6.25</v>
      </c>
      <c r="H128" s="3">
        <v>0</v>
      </c>
      <c r="I128" s="63">
        <f t="shared" si="7"/>
        <v>95.159126686656691</v>
      </c>
      <c r="J128" s="101" t="s">
        <v>10</v>
      </c>
      <c r="K128" s="101" t="s">
        <v>10</v>
      </c>
      <c r="L128" s="101" t="s">
        <v>10</v>
      </c>
      <c r="M128" s="3" t="s">
        <v>14</v>
      </c>
      <c r="N128" s="3" t="s">
        <v>15</v>
      </c>
      <c r="O128" s="202" t="s">
        <v>10</v>
      </c>
      <c r="P128" s="202"/>
      <c r="Q128" s="202"/>
    </row>
    <row r="129" spans="1:17" hidden="1" x14ac:dyDescent="0.3">
      <c r="A129" s="61">
        <v>43230</v>
      </c>
      <c r="B129" s="3" t="s">
        <v>498</v>
      </c>
      <c r="C129" s="2" t="s">
        <v>505</v>
      </c>
      <c r="D129" s="9">
        <v>1.0002</v>
      </c>
      <c r="E129" s="56">
        <v>106.16800000000001</v>
      </c>
      <c r="F129" s="56">
        <f t="shared" si="6"/>
        <v>14.871162567486506</v>
      </c>
      <c r="G129" s="3">
        <v>6.25</v>
      </c>
      <c r="H129" s="3">
        <v>0</v>
      </c>
      <c r="I129" s="63">
        <f t="shared" si="7"/>
        <v>92.944766046790662</v>
      </c>
      <c r="J129" s="101" t="s">
        <v>10</v>
      </c>
      <c r="K129" s="101" t="s">
        <v>10</v>
      </c>
      <c r="L129" s="101" t="s">
        <v>10</v>
      </c>
      <c r="M129" s="3" t="s">
        <v>14</v>
      </c>
      <c r="N129" s="3" t="s">
        <v>15</v>
      </c>
      <c r="O129" s="202" t="s">
        <v>10</v>
      </c>
      <c r="P129" s="202"/>
      <c r="Q129" s="202"/>
    </row>
    <row r="130" spans="1:17" hidden="1" x14ac:dyDescent="0.3">
      <c r="A130" s="61">
        <v>43230</v>
      </c>
      <c r="B130" s="3" t="s">
        <v>499</v>
      </c>
      <c r="C130" s="2" t="s">
        <v>506</v>
      </c>
      <c r="D130" s="9">
        <v>1.0008999999999999</v>
      </c>
      <c r="E130" s="56">
        <v>108.78400000000001</v>
      </c>
      <c r="F130" s="56">
        <f t="shared" si="6"/>
        <v>15.226934159256672</v>
      </c>
      <c r="G130" s="3">
        <v>6.25</v>
      </c>
      <c r="H130" s="3">
        <v>0</v>
      </c>
      <c r="I130" s="63">
        <f t="shared" si="7"/>
        <v>95.168338495354192</v>
      </c>
      <c r="J130" s="101" t="s">
        <v>10</v>
      </c>
      <c r="K130" s="101" t="s">
        <v>10</v>
      </c>
      <c r="L130" s="101" t="s">
        <v>10</v>
      </c>
      <c r="M130" s="3" t="s">
        <v>14</v>
      </c>
      <c r="N130" s="3" t="s">
        <v>15</v>
      </c>
      <c r="O130" s="202" t="s">
        <v>10</v>
      </c>
      <c r="P130" s="202"/>
      <c r="Q130" s="202"/>
    </row>
    <row r="131" spans="1:17" hidden="1" x14ac:dyDescent="0.3">
      <c r="A131" s="61">
        <v>43230</v>
      </c>
      <c r="B131" s="3" t="s">
        <v>500</v>
      </c>
      <c r="C131" s="2" t="s">
        <v>507</v>
      </c>
      <c r="D131" s="9">
        <v>1.0002</v>
      </c>
      <c r="E131" s="56">
        <v>107.836</v>
      </c>
      <c r="F131" s="56">
        <f t="shared" si="6"/>
        <v>15.104802639472108</v>
      </c>
      <c r="G131" s="3">
        <v>6.25</v>
      </c>
      <c r="H131" s="3">
        <v>0</v>
      </c>
      <c r="I131" s="63">
        <f t="shared" si="7"/>
        <v>94.405016496700682</v>
      </c>
      <c r="J131" s="101" t="s">
        <v>10</v>
      </c>
      <c r="K131" s="101" t="s">
        <v>10</v>
      </c>
      <c r="L131" s="101" t="s">
        <v>10</v>
      </c>
      <c r="M131" s="3" t="s">
        <v>14</v>
      </c>
      <c r="N131" s="3" t="s">
        <v>15</v>
      </c>
      <c r="O131" s="202" t="s">
        <v>10</v>
      </c>
      <c r="P131" s="202"/>
      <c r="Q131" s="202"/>
    </row>
    <row r="132" spans="1:17" hidden="1" x14ac:dyDescent="0.3">
      <c r="A132" s="61">
        <v>43230</v>
      </c>
      <c r="B132" s="3" t="s">
        <v>501</v>
      </c>
      <c r="C132" s="2" t="s">
        <v>508</v>
      </c>
      <c r="D132" s="9">
        <v>1.0004999999999999</v>
      </c>
      <c r="E132" s="56">
        <v>108.98399999999999</v>
      </c>
      <c r="F132" s="56">
        <f t="shared" si="6"/>
        <v>15.261027886056974</v>
      </c>
      <c r="G132" s="3">
        <v>6.25</v>
      </c>
      <c r="H132" s="3">
        <v>0</v>
      </c>
      <c r="I132" s="63">
        <f t="shared" si="7"/>
        <v>95.381424287856092</v>
      </c>
      <c r="J132" s="101" t="s">
        <v>10</v>
      </c>
      <c r="K132" s="101" t="s">
        <v>10</v>
      </c>
      <c r="L132" s="101" t="s">
        <v>10</v>
      </c>
      <c r="M132" s="3" t="s">
        <v>14</v>
      </c>
      <c r="N132" s="3" t="s">
        <v>15</v>
      </c>
      <c r="O132" s="202" t="s">
        <v>10</v>
      </c>
      <c r="P132" s="202"/>
      <c r="Q132" s="202"/>
    </row>
    <row r="133" spans="1:17" hidden="1" x14ac:dyDescent="0.3">
      <c r="A133" s="61">
        <v>43230</v>
      </c>
      <c r="B133" s="3" t="s">
        <v>502</v>
      </c>
      <c r="C133" s="2" t="s">
        <v>509</v>
      </c>
      <c r="D133" s="9">
        <v>1.0004</v>
      </c>
      <c r="E133" s="56">
        <v>105.398</v>
      </c>
      <c r="F133" s="56">
        <f t="shared" si="6"/>
        <v>14.760355657736905</v>
      </c>
      <c r="G133" s="3">
        <v>6.25</v>
      </c>
      <c r="H133" s="3">
        <v>0</v>
      </c>
      <c r="I133" s="63">
        <f t="shared" si="7"/>
        <v>92.252222860855653</v>
      </c>
      <c r="J133" s="101" t="s">
        <v>10</v>
      </c>
      <c r="K133" s="101" t="s">
        <v>10</v>
      </c>
      <c r="L133" s="101" t="s">
        <v>10</v>
      </c>
      <c r="M133" s="3" t="s">
        <v>14</v>
      </c>
      <c r="N133" s="3" t="s">
        <v>15</v>
      </c>
      <c r="O133" s="202" t="s">
        <v>10</v>
      </c>
      <c r="P133" s="202"/>
      <c r="Q133" s="202"/>
    </row>
    <row r="134" spans="1:17" hidden="1" x14ac:dyDescent="0.3">
      <c r="A134" s="61">
        <v>43230</v>
      </c>
      <c r="B134" s="3" t="s">
        <v>503</v>
      </c>
      <c r="C134" s="2" t="s">
        <v>510</v>
      </c>
      <c r="D134" s="9">
        <v>1.0007999999999999</v>
      </c>
      <c r="E134" s="56">
        <v>110.126</v>
      </c>
      <c r="F134" s="56">
        <f t="shared" si="6"/>
        <v>15.41631954436451</v>
      </c>
      <c r="G134" s="3">
        <v>6.25</v>
      </c>
      <c r="H134" s="3">
        <v>0</v>
      </c>
      <c r="I134" s="63">
        <f t="shared" si="7"/>
        <v>96.351997152278187</v>
      </c>
      <c r="J134" s="101" t="s">
        <v>10</v>
      </c>
      <c r="K134" s="101" t="s">
        <v>10</v>
      </c>
      <c r="L134" s="101" t="s">
        <v>10</v>
      </c>
      <c r="M134" s="3" t="s">
        <v>14</v>
      </c>
      <c r="N134" s="3" t="s">
        <v>15</v>
      </c>
      <c r="O134" s="202" t="s">
        <v>10</v>
      </c>
      <c r="P134" s="202"/>
      <c r="Q134" s="202"/>
    </row>
    <row r="135" spans="1:17" hidden="1" x14ac:dyDescent="0.3">
      <c r="A135" s="61">
        <v>43235</v>
      </c>
      <c r="B135" s="3" t="s">
        <v>504</v>
      </c>
      <c r="C135" s="2" t="s">
        <v>511</v>
      </c>
      <c r="D135" s="9">
        <v>1.0004999999999999</v>
      </c>
      <c r="E135" s="56">
        <v>109.396</v>
      </c>
      <c r="F135" s="56">
        <f t="shared" si="6"/>
        <v>15.318720239880063</v>
      </c>
      <c r="G135" s="3">
        <v>6.25</v>
      </c>
      <c r="H135" s="3">
        <v>0</v>
      </c>
      <c r="I135" s="63">
        <f t="shared" si="7"/>
        <v>95.742001499250392</v>
      </c>
      <c r="J135" s="101" t="s">
        <v>10</v>
      </c>
      <c r="K135" s="101" t="s">
        <v>10</v>
      </c>
      <c r="L135" s="101" t="s">
        <v>10</v>
      </c>
      <c r="M135" s="3" t="s">
        <v>14</v>
      </c>
      <c r="N135" s="3" t="s">
        <v>15</v>
      </c>
      <c r="O135" s="202" t="s">
        <v>10</v>
      </c>
      <c r="P135" s="202"/>
      <c r="Q135" s="202"/>
    </row>
    <row r="136" spans="1:17" hidden="1" x14ac:dyDescent="0.3">
      <c r="A136" s="68">
        <v>43237</v>
      </c>
      <c r="B136" s="3" t="s">
        <v>513</v>
      </c>
      <c r="C136" s="2" t="s">
        <v>512</v>
      </c>
      <c r="D136" s="9">
        <v>1.0006999999999999</v>
      </c>
      <c r="E136" s="56">
        <v>8.6199999999999992</v>
      </c>
      <c r="F136" s="56">
        <f t="shared" si="6"/>
        <v>1.2068172279404417</v>
      </c>
      <c r="G136" s="3">
        <v>6.25</v>
      </c>
      <c r="H136" s="3">
        <v>0</v>
      </c>
      <c r="I136" s="63">
        <f t="shared" si="7"/>
        <v>7.5426076746277602</v>
      </c>
      <c r="J136" s="101" t="s">
        <v>10</v>
      </c>
      <c r="K136" s="101" t="s">
        <v>10</v>
      </c>
      <c r="L136" s="101" t="s">
        <v>10</v>
      </c>
      <c r="M136" s="3" t="s">
        <v>14</v>
      </c>
      <c r="N136" s="3" t="s">
        <v>15</v>
      </c>
      <c r="O136" s="202" t="s">
        <v>10</v>
      </c>
      <c r="P136" s="202"/>
      <c r="Q136" s="202"/>
    </row>
    <row r="137" spans="1:17" hidden="1" x14ac:dyDescent="0.3">
      <c r="A137" s="68">
        <v>43237</v>
      </c>
      <c r="B137" s="3" t="s">
        <v>514</v>
      </c>
      <c r="C137" s="2" t="s">
        <v>515</v>
      </c>
      <c r="D137" s="9">
        <v>1.0008999999999999</v>
      </c>
      <c r="E137" s="56">
        <v>25.533999999999999</v>
      </c>
      <c r="F137" s="56">
        <f t="shared" si="6"/>
        <v>3.5740967129583381</v>
      </c>
      <c r="G137" s="3">
        <v>6.25</v>
      </c>
      <c r="H137" s="3">
        <v>0</v>
      </c>
      <c r="I137" s="63">
        <f t="shared" si="7"/>
        <v>22.338104455989612</v>
      </c>
      <c r="J137" s="101" t="s">
        <v>10</v>
      </c>
      <c r="K137" s="101" t="s">
        <v>10</v>
      </c>
      <c r="L137" s="101" t="s">
        <v>10</v>
      </c>
      <c r="M137" s="3" t="s">
        <v>14</v>
      </c>
      <c r="N137" s="3" t="s">
        <v>15</v>
      </c>
      <c r="O137" s="202" t="s">
        <v>10</v>
      </c>
      <c r="P137" s="202"/>
      <c r="Q137" s="202"/>
    </row>
    <row r="138" spans="1:17" hidden="1" x14ac:dyDescent="0.3">
      <c r="A138" s="68">
        <v>43237</v>
      </c>
      <c r="B138" s="3" t="s">
        <v>517</v>
      </c>
      <c r="C138" s="2" t="s">
        <v>516</v>
      </c>
      <c r="D138" s="9">
        <v>1.0007999999999999</v>
      </c>
      <c r="E138" s="56">
        <v>1.55</v>
      </c>
      <c r="F138" s="56">
        <f t="shared" si="6"/>
        <v>0.21698141486810557</v>
      </c>
      <c r="G138" s="3">
        <v>6.25</v>
      </c>
      <c r="H138" s="3">
        <v>0</v>
      </c>
      <c r="I138" s="63">
        <f t="shared" si="7"/>
        <v>1.3561338429256597</v>
      </c>
      <c r="J138" s="101" t="s">
        <v>10</v>
      </c>
      <c r="K138" s="101" t="s">
        <v>10</v>
      </c>
      <c r="L138" s="101" t="s">
        <v>10</v>
      </c>
      <c r="M138" s="3" t="s">
        <v>14</v>
      </c>
      <c r="N138" s="3" t="s">
        <v>15</v>
      </c>
      <c r="O138" s="202" t="s">
        <v>10</v>
      </c>
      <c r="P138" s="202"/>
      <c r="Q138" s="202"/>
    </row>
    <row r="139" spans="1:17" hidden="1" x14ac:dyDescent="0.3">
      <c r="A139" s="68">
        <v>43241</v>
      </c>
      <c r="B139" s="3" t="s">
        <v>518</v>
      </c>
      <c r="C139" s="2" t="s">
        <v>519</v>
      </c>
      <c r="D139" s="9">
        <v>1.0008999999999999</v>
      </c>
      <c r="E139" s="56">
        <v>27.867999999999999</v>
      </c>
      <c r="F139" s="56">
        <f>+E139*0.1*14.01/((D139-(D139*'GRASA AOAC 920.39'!I181/100))*10)</f>
        <v>5.3505643415101609</v>
      </c>
      <c r="G139" s="3">
        <v>6.38</v>
      </c>
      <c r="H139" s="3">
        <v>0</v>
      </c>
      <c r="I139" s="63">
        <f t="shared" si="7"/>
        <v>34.136600498834824</v>
      </c>
      <c r="J139" s="101" t="s">
        <v>10</v>
      </c>
      <c r="K139" s="101" t="s">
        <v>10</v>
      </c>
      <c r="L139" s="101" t="s">
        <v>10</v>
      </c>
      <c r="M139" s="3" t="s">
        <v>14</v>
      </c>
      <c r="N139" s="3" t="s">
        <v>15</v>
      </c>
      <c r="O139" s="202" t="s">
        <v>10</v>
      </c>
      <c r="P139" s="202"/>
      <c r="Q139" s="202"/>
    </row>
    <row r="140" spans="1:17" hidden="1" x14ac:dyDescent="0.3">
      <c r="A140" s="68">
        <v>43241</v>
      </c>
      <c r="B140" s="3" t="s">
        <v>521</v>
      </c>
      <c r="C140" s="8" t="s">
        <v>520</v>
      </c>
      <c r="D140" s="9">
        <v>1.0004999999999999</v>
      </c>
      <c r="E140" s="56">
        <v>9.3360000000000003</v>
      </c>
      <c r="F140" s="56">
        <f t="shared" si="6"/>
        <v>1.3073199400299851</v>
      </c>
      <c r="G140" s="3">
        <v>6.25</v>
      </c>
      <c r="H140" s="3">
        <v>0</v>
      </c>
      <c r="I140" s="63">
        <f t="shared" si="7"/>
        <v>8.1707496251874066</v>
      </c>
      <c r="J140" s="101" t="s">
        <v>10</v>
      </c>
      <c r="K140" s="101" t="s">
        <v>10</v>
      </c>
      <c r="L140" s="101" t="s">
        <v>10</v>
      </c>
      <c r="M140" s="3" t="s">
        <v>14</v>
      </c>
      <c r="N140" s="3" t="s">
        <v>15</v>
      </c>
      <c r="O140" s="202" t="s">
        <v>10</v>
      </c>
      <c r="P140" s="202"/>
      <c r="Q140" s="202"/>
    </row>
    <row r="141" spans="1:17" hidden="1" x14ac:dyDescent="0.3">
      <c r="A141" s="68">
        <v>43243</v>
      </c>
      <c r="B141" s="28" t="s">
        <v>514</v>
      </c>
      <c r="C141" s="2" t="s">
        <v>515</v>
      </c>
      <c r="D141" s="9">
        <f>+'FIBRA DIETARIA KIT'!H61</f>
        <v>0.33189999999999742</v>
      </c>
      <c r="E141" s="56">
        <v>0.09</v>
      </c>
      <c r="F141" s="56">
        <f t="shared" si="6"/>
        <v>3.7990358541729725E-2</v>
      </c>
      <c r="G141" s="3">
        <v>6.25</v>
      </c>
      <c r="H141" s="3">
        <v>0</v>
      </c>
      <c r="I141" s="63">
        <f>+F141*G141*((100-H141)/100)</f>
        <v>0.2374397408858108</v>
      </c>
      <c r="J141" s="101" t="s">
        <v>10</v>
      </c>
      <c r="K141" s="101" t="s">
        <v>10</v>
      </c>
      <c r="L141" s="101" t="s">
        <v>10</v>
      </c>
      <c r="M141" s="3" t="s">
        <v>14</v>
      </c>
      <c r="N141" s="3" t="s">
        <v>15</v>
      </c>
      <c r="O141" s="202" t="s">
        <v>10</v>
      </c>
      <c r="P141" s="202"/>
      <c r="Q141" s="202"/>
    </row>
    <row r="142" spans="1:17" hidden="1" x14ac:dyDescent="0.3">
      <c r="A142" s="68">
        <v>43245</v>
      </c>
      <c r="B142" s="3" t="s">
        <v>524</v>
      </c>
      <c r="C142" s="2" t="s">
        <v>525</v>
      </c>
      <c r="D142" s="9">
        <v>1.0004999999999999</v>
      </c>
      <c r="E142" s="56">
        <v>22.75</v>
      </c>
      <c r="F142" s="56">
        <f t="shared" si="6"/>
        <v>3.1856821589205402</v>
      </c>
      <c r="G142" s="3">
        <v>6.25</v>
      </c>
      <c r="H142" s="3">
        <v>0</v>
      </c>
      <c r="I142" s="63">
        <f>+F142*G142*((100-H142)/100)</f>
        <v>19.910513493253376</v>
      </c>
      <c r="J142" s="101" t="s">
        <v>10</v>
      </c>
      <c r="K142" s="101" t="s">
        <v>10</v>
      </c>
      <c r="L142" s="101" t="s">
        <v>10</v>
      </c>
      <c r="M142" s="3" t="s">
        <v>14</v>
      </c>
      <c r="N142" s="3" t="s">
        <v>15</v>
      </c>
      <c r="O142" s="202" t="s">
        <v>10</v>
      </c>
      <c r="P142" s="202"/>
      <c r="Q142" s="202"/>
    </row>
    <row r="143" spans="1:17" hidden="1" x14ac:dyDescent="0.3">
      <c r="A143" s="71">
        <v>43241</v>
      </c>
      <c r="B143" s="3" t="s">
        <v>523</v>
      </c>
      <c r="C143" s="2" t="s">
        <v>522</v>
      </c>
      <c r="D143" s="9">
        <v>1.0004</v>
      </c>
      <c r="E143" s="56">
        <v>8.1059999999999999</v>
      </c>
      <c r="F143" s="56">
        <f t="shared" si="6"/>
        <v>1.1351965213914434</v>
      </c>
      <c r="G143" s="3">
        <v>6.25</v>
      </c>
      <c r="H143" s="3">
        <v>0</v>
      </c>
      <c r="I143" s="63">
        <f>+F143*G143*((100-H143)/100)</f>
        <v>7.0949782586965213</v>
      </c>
      <c r="J143" s="101" t="s">
        <v>10</v>
      </c>
      <c r="K143" s="101" t="s">
        <v>10</v>
      </c>
      <c r="L143" s="101" t="s">
        <v>10</v>
      </c>
      <c r="M143" s="3" t="s">
        <v>14</v>
      </c>
      <c r="N143" s="3" t="s">
        <v>15</v>
      </c>
      <c r="O143" s="202" t="s">
        <v>10</v>
      </c>
      <c r="P143" s="202"/>
      <c r="Q143" s="202"/>
    </row>
    <row r="144" spans="1:17" hidden="1" x14ac:dyDescent="0.3">
      <c r="A144" s="61">
        <v>43241</v>
      </c>
      <c r="B144" s="3" t="s">
        <v>526</v>
      </c>
      <c r="C144" s="2" t="s">
        <v>527</v>
      </c>
      <c r="D144" s="9">
        <v>1.0003</v>
      </c>
      <c r="E144" s="56">
        <v>50.542000000000002</v>
      </c>
      <c r="F144" s="56">
        <f t="shared" si="6"/>
        <v>7.0788105568329511</v>
      </c>
      <c r="G144" s="3">
        <v>6.25</v>
      </c>
      <c r="H144" s="3">
        <v>0</v>
      </c>
      <c r="I144" s="63">
        <f>+F144*G144</f>
        <v>44.242565980205946</v>
      </c>
      <c r="J144" s="101" t="s">
        <v>10</v>
      </c>
      <c r="K144" s="101" t="s">
        <v>10</v>
      </c>
      <c r="L144" s="101" t="s">
        <v>10</v>
      </c>
      <c r="M144" s="3" t="s">
        <v>14</v>
      </c>
      <c r="N144" s="3" t="s">
        <v>15</v>
      </c>
      <c r="O144" s="202" t="s">
        <v>529</v>
      </c>
      <c r="P144" s="202"/>
      <c r="Q144" s="202"/>
    </row>
    <row r="145" spans="1:17" hidden="1" x14ac:dyDescent="0.3">
      <c r="A145" s="61">
        <v>43245</v>
      </c>
      <c r="B145" s="3" t="s">
        <v>528</v>
      </c>
      <c r="C145" s="2" t="s">
        <v>527</v>
      </c>
      <c r="D145" s="72">
        <v>1.0006999999999999</v>
      </c>
      <c r="E145" s="58">
        <v>56.537999999999997</v>
      </c>
      <c r="F145" s="56">
        <f t="shared" si="6"/>
        <v>7.9154329969021688</v>
      </c>
      <c r="G145" s="3">
        <v>6.25</v>
      </c>
      <c r="H145" s="3">
        <v>0</v>
      </c>
      <c r="I145" s="56">
        <f t="shared" ref="I145:I176" si="8">+F145*G145*((100-H145)/100)</f>
        <v>49.471456230638552</v>
      </c>
      <c r="J145" s="101" t="s">
        <v>10</v>
      </c>
      <c r="K145" s="101" t="s">
        <v>10</v>
      </c>
      <c r="L145" s="101" t="s">
        <v>10</v>
      </c>
      <c r="M145" s="3" t="s">
        <v>14</v>
      </c>
      <c r="N145" s="3" t="s">
        <v>15</v>
      </c>
      <c r="O145" s="202" t="s">
        <v>10</v>
      </c>
      <c r="P145" s="202"/>
      <c r="Q145" s="202"/>
    </row>
    <row r="146" spans="1:17" hidden="1" x14ac:dyDescent="0.3">
      <c r="A146" s="61">
        <v>43241</v>
      </c>
      <c r="B146" s="3" t="s">
        <v>531</v>
      </c>
      <c r="C146" s="2" t="s">
        <v>530</v>
      </c>
      <c r="D146" s="9">
        <v>1.0008999999999999</v>
      </c>
      <c r="E146" s="9">
        <v>67.614000000000004</v>
      </c>
      <c r="F146" s="56" t="e">
        <f>+E146*0.1*14.01/((D146-(#REF!*D146/100))*10)</f>
        <v>#REF!</v>
      </c>
      <c r="G146" s="3">
        <v>6.25</v>
      </c>
      <c r="H146" s="3">
        <v>0</v>
      </c>
      <c r="I146" s="56" t="e">
        <f t="shared" si="8"/>
        <v>#REF!</v>
      </c>
      <c r="J146" s="101" t="s">
        <v>10</v>
      </c>
      <c r="K146" s="101" t="s">
        <v>10</v>
      </c>
      <c r="L146" s="101" t="s">
        <v>10</v>
      </c>
      <c r="M146" s="3" t="s">
        <v>14</v>
      </c>
      <c r="N146" s="3" t="s">
        <v>15</v>
      </c>
      <c r="O146" s="202" t="s">
        <v>10</v>
      </c>
      <c r="P146" s="202"/>
      <c r="Q146" s="202"/>
    </row>
    <row r="147" spans="1:17" hidden="1" x14ac:dyDescent="0.3">
      <c r="A147" s="61">
        <v>43241</v>
      </c>
      <c r="B147" s="3" t="s">
        <v>532</v>
      </c>
      <c r="C147" s="2" t="s">
        <v>533</v>
      </c>
      <c r="D147" s="9">
        <v>1.0003</v>
      </c>
      <c r="E147" s="9">
        <v>60.29</v>
      </c>
      <c r="F147" s="56">
        <f>+E147*0.1*14.01/(D147*10)</f>
        <v>8.4440957712686195</v>
      </c>
      <c r="G147" s="3">
        <v>6.25</v>
      </c>
      <c r="H147" s="3">
        <v>0</v>
      </c>
      <c r="I147" s="56">
        <f t="shared" si="8"/>
        <v>52.775598570428869</v>
      </c>
      <c r="J147" s="101" t="s">
        <v>10</v>
      </c>
      <c r="K147" s="101" t="s">
        <v>10</v>
      </c>
      <c r="L147" s="101" t="s">
        <v>10</v>
      </c>
      <c r="M147" s="3" t="s">
        <v>14</v>
      </c>
      <c r="N147" s="3" t="s">
        <v>15</v>
      </c>
      <c r="O147" s="202" t="s">
        <v>529</v>
      </c>
      <c r="P147" s="202"/>
      <c r="Q147" s="202"/>
    </row>
    <row r="148" spans="1:17" hidden="1" x14ac:dyDescent="0.3">
      <c r="A148" s="61">
        <v>43249</v>
      </c>
      <c r="B148" s="3" t="s">
        <v>469</v>
      </c>
      <c r="C148" s="2" t="s">
        <v>471</v>
      </c>
      <c r="D148" s="9">
        <v>1.0006999999999999</v>
      </c>
      <c r="E148" s="56">
        <v>23.187999999999999</v>
      </c>
      <c r="F148" s="56">
        <f>+E148*0.1*14.01/(D148*10)</f>
        <v>3.246366343559508</v>
      </c>
      <c r="G148" s="3">
        <v>6.25</v>
      </c>
      <c r="H148" s="3">
        <v>0</v>
      </c>
      <c r="I148" s="56">
        <f t="shared" si="8"/>
        <v>20.289789647246927</v>
      </c>
      <c r="J148" s="101" t="s">
        <v>10</v>
      </c>
      <c r="K148" s="101" t="s">
        <v>10</v>
      </c>
      <c r="L148" s="101" t="s">
        <v>10</v>
      </c>
      <c r="M148" s="3" t="s">
        <v>14</v>
      </c>
      <c r="N148" s="3" t="s">
        <v>15</v>
      </c>
      <c r="O148" s="202" t="s">
        <v>10</v>
      </c>
      <c r="P148" s="202"/>
      <c r="Q148" s="202"/>
    </row>
    <row r="149" spans="1:17" hidden="1" x14ac:dyDescent="0.3">
      <c r="A149" s="61">
        <v>43249</v>
      </c>
      <c r="B149" s="3" t="s">
        <v>479</v>
      </c>
      <c r="C149" s="2" t="s">
        <v>478</v>
      </c>
      <c r="D149" s="9">
        <v>1.0008999999999999</v>
      </c>
      <c r="E149" s="56">
        <v>23.215</v>
      </c>
      <c r="F149" s="56">
        <f>+E149*0.1*14.01/(D149*10)</f>
        <v>3.2494969527425321</v>
      </c>
      <c r="G149" s="3">
        <v>6.25</v>
      </c>
      <c r="H149" s="3">
        <v>0</v>
      </c>
      <c r="I149" s="56">
        <f t="shared" si="8"/>
        <v>20.309355954640825</v>
      </c>
      <c r="J149" s="101" t="s">
        <v>10</v>
      </c>
      <c r="K149" s="101" t="s">
        <v>10</v>
      </c>
      <c r="L149" s="101" t="s">
        <v>10</v>
      </c>
      <c r="M149" s="3" t="s">
        <v>14</v>
      </c>
      <c r="N149" s="3" t="s">
        <v>15</v>
      </c>
      <c r="O149" s="202" t="s">
        <v>10</v>
      </c>
      <c r="P149" s="202"/>
      <c r="Q149" s="202"/>
    </row>
    <row r="150" spans="1:17" hidden="1" x14ac:dyDescent="0.3">
      <c r="A150" s="61">
        <v>43248</v>
      </c>
      <c r="B150" s="3" t="s">
        <v>547</v>
      </c>
      <c r="C150" s="2" t="s">
        <v>548</v>
      </c>
      <c r="D150" s="9">
        <v>1.0008999999999999</v>
      </c>
      <c r="E150" s="56">
        <v>21.652000000000001</v>
      </c>
      <c r="F150" s="56">
        <f>+E150*0.1*14.01/(D150*10)</f>
        <v>3.0307175542012192</v>
      </c>
      <c r="G150" s="3">
        <v>6.25</v>
      </c>
      <c r="H150" s="3">
        <v>0</v>
      </c>
      <c r="I150" s="56">
        <f t="shared" si="8"/>
        <v>18.94198471375762</v>
      </c>
      <c r="J150" s="101" t="s">
        <v>10</v>
      </c>
      <c r="K150" s="101" t="s">
        <v>10</v>
      </c>
      <c r="L150" s="101" t="s">
        <v>10</v>
      </c>
      <c r="M150" s="3" t="s">
        <v>14</v>
      </c>
      <c r="N150" s="3" t="s">
        <v>15</v>
      </c>
      <c r="O150" s="202" t="s">
        <v>10</v>
      </c>
      <c r="P150" s="202"/>
      <c r="Q150" s="202"/>
    </row>
    <row r="151" spans="1:17" hidden="1" x14ac:dyDescent="0.3">
      <c r="A151" s="61">
        <v>43248</v>
      </c>
      <c r="B151" s="3" t="s">
        <v>539</v>
      </c>
      <c r="C151" s="2" t="s">
        <v>538</v>
      </c>
      <c r="D151" s="9">
        <v>1.0007999999999999</v>
      </c>
      <c r="E151" s="56">
        <v>34.503999999999998</v>
      </c>
      <c r="F151" s="56">
        <f>+E151*0.1*14.01/(D151*10)</f>
        <v>4.8301462829736215</v>
      </c>
      <c r="G151" s="3">
        <v>6.25</v>
      </c>
      <c r="H151" s="3">
        <v>0</v>
      </c>
      <c r="I151" s="56">
        <f t="shared" si="8"/>
        <v>30.188414268585134</v>
      </c>
      <c r="J151" s="101" t="s">
        <v>10</v>
      </c>
      <c r="K151" s="101" t="s">
        <v>10</v>
      </c>
      <c r="L151" s="101" t="s">
        <v>10</v>
      </c>
      <c r="M151" s="3" t="s">
        <v>14</v>
      </c>
      <c r="N151" s="3" t="s">
        <v>15</v>
      </c>
      <c r="O151" s="202" t="s">
        <v>10</v>
      </c>
      <c r="P151" s="202"/>
      <c r="Q151" s="202"/>
    </row>
    <row r="152" spans="1:17" hidden="1" x14ac:dyDescent="0.3">
      <c r="A152" s="29">
        <v>43243</v>
      </c>
      <c r="B152" s="3" t="s">
        <v>540</v>
      </c>
      <c r="C152" s="2" t="s">
        <v>537</v>
      </c>
      <c r="D152" s="9">
        <v>1.0007999999999999</v>
      </c>
      <c r="E152" s="3">
        <v>23.498000000000001</v>
      </c>
      <c r="F152" s="56">
        <f t="shared" ref="F152:F224" si="9">+E152*0.1*14.01/(D152*10)</f>
        <v>3.2894382494004799</v>
      </c>
      <c r="G152" s="3">
        <v>6.25</v>
      </c>
      <c r="H152" s="3">
        <v>0</v>
      </c>
      <c r="I152" s="56">
        <f t="shared" si="8"/>
        <v>20.558989058752999</v>
      </c>
      <c r="J152" s="101" t="s">
        <v>10</v>
      </c>
      <c r="K152" s="101" t="s">
        <v>10</v>
      </c>
      <c r="L152" s="101" t="s">
        <v>10</v>
      </c>
      <c r="M152" s="3" t="s">
        <v>14</v>
      </c>
      <c r="N152" s="3" t="s">
        <v>15</v>
      </c>
      <c r="O152" s="202" t="s">
        <v>10</v>
      </c>
      <c r="P152" s="202"/>
      <c r="Q152" s="202"/>
    </row>
    <row r="153" spans="1:17" hidden="1" x14ac:dyDescent="0.3">
      <c r="A153" s="29">
        <v>43243</v>
      </c>
      <c r="B153" s="3" t="s">
        <v>543</v>
      </c>
      <c r="C153" s="2" t="s">
        <v>544</v>
      </c>
      <c r="D153" s="9">
        <v>1.0004999999999999</v>
      </c>
      <c r="E153" s="3">
        <v>16.478000000000002</v>
      </c>
      <c r="F153" s="56">
        <f t="shared" si="9"/>
        <v>2.3074140929535236</v>
      </c>
      <c r="G153" s="3">
        <v>6.25</v>
      </c>
      <c r="H153" s="3">
        <v>0</v>
      </c>
      <c r="I153" s="56">
        <f t="shared" si="8"/>
        <v>14.421338080959522</v>
      </c>
      <c r="J153" s="101" t="s">
        <v>10</v>
      </c>
      <c r="K153" s="101" t="s">
        <v>10</v>
      </c>
      <c r="L153" s="101" t="s">
        <v>10</v>
      </c>
      <c r="M153" s="3" t="s">
        <v>14</v>
      </c>
      <c r="N153" s="3" t="s">
        <v>15</v>
      </c>
      <c r="O153" s="202" t="s">
        <v>10</v>
      </c>
      <c r="P153" s="202"/>
      <c r="Q153" s="202"/>
    </row>
    <row r="154" spans="1:17" hidden="1" x14ac:dyDescent="0.3">
      <c r="A154" s="29">
        <v>43250</v>
      </c>
      <c r="B154" s="15" t="s">
        <v>127</v>
      </c>
      <c r="C154" s="2" t="s">
        <v>556</v>
      </c>
      <c r="D154" s="9">
        <f>+'FIBRA DIETARIA KIT'!H63</f>
        <v>1.6400000000004411E-2</v>
      </c>
      <c r="E154" s="56">
        <v>1.38</v>
      </c>
      <c r="F154" s="56">
        <f t="shared" si="9"/>
        <v>11.788902439021218</v>
      </c>
      <c r="G154" s="3">
        <v>6.25</v>
      </c>
      <c r="H154" s="3">
        <v>0</v>
      </c>
      <c r="I154" s="56">
        <f t="shared" si="8"/>
        <v>73.680640243882607</v>
      </c>
      <c r="J154" s="101" t="s">
        <v>10</v>
      </c>
      <c r="K154" s="101" t="s">
        <v>10</v>
      </c>
      <c r="L154" s="101" t="s">
        <v>10</v>
      </c>
      <c r="M154" s="3" t="s">
        <v>14</v>
      </c>
      <c r="N154" s="3" t="s">
        <v>15</v>
      </c>
      <c r="O154" s="202" t="s">
        <v>10</v>
      </c>
      <c r="P154" s="202"/>
      <c r="Q154" s="202"/>
    </row>
    <row r="155" spans="1:17" hidden="1" x14ac:dyDescent="0.3">
      <c r="A155" s="29">
        <v>43250</v>
      </c>
      <c r="B155" s="3" t="s">
        <v>543</v>
      </c>
      <c r="C155" s="2" t="s">
        <v>558</v>
      </c>
      <c r="D155" s="9">
        <f>+'FIBRA DIETARIA KIT'!H65</f>
        <v>0.41760000000000019</v>
      </c>
      <c r="E155" s="56">
        <v>39.216000000000001</v>
      </c>
      <c r="F155" s="56">
        <f t="shared" si="9"/>
        <v>13.156517241379305</v>
      </c>
      <c r="G155" s="3">
        <v>6.25</v>
      </c>
      <c r="H155" s="3">
        <v>0</v>
      </c>
      <c r="I155" s="56">
        <f t="shared" si="8"/>
        <v>82.228232758620663</v>
      </c>
      <c r="J155" s="101" t="s">
        <v>10</v>
      </c>
      <c r="K155" s="101" t="s">
        <v>10</v>
      </c>
      <c r="L155" s="101" t="s">
        <v>10</v>
      </c>
      <c r="M155" s="3" t="s">
        <v>14</v>
      </c>
      <c r="N155" s="3" t="s">
        <v>15</v>
      </c>
      <c r="O155" s="202" t="s">
        <v>10</v>
      </c>
      <c r="P155" s="202"/>
      <c r="Q155" s="202"/>
    </row>
    <row r="156" spans="1:17" hidden="1" x14ac:dyDescent="0.3">
      <c r="A156" s="29">
        <v>43252</v>
      </c>
      <c r="B156" s="15" t="s">
        <v>495</v>
      </c>
      <c r="C156" s="2" t="s">
        <v>494</v>
      </c>
      <c r="D156" s="9">
        <f>+'FIBRA DIETARIA KIT'!H67</f>
        <v>3.6200000000000898E-2</v>
      </c>
      <c r="E156" s="56">
        <v>2.4E-2</v>
      </c>
      <c r="F156" s="56">
        <f t="shared" si="9"/>
        <v>9.2883977900550183E-2</v>
      </c>
      <c r="G156" s="3">
        <v>6.25</v>
      </c>
      <c r="H156" s="3">
        <v>0</v>
      </c>
      <c r="I156" s="56">
        <f t="shared" si="8"/>
        <v>0.58052486187843866</v>
      </c>
      <c r="J156" s="101" t="s">
        <v>10</v>
      </c>
      <c r="K156" s="101" t="s">
        <v>10</v>
      </c>
      <c r="L156" s="101" t="s">
        <v>10</v>
      </c>
      <c r="M156" s="3" t="s">
        <v>14</v>
      </c>
      <c r="N156" s="3" t="s">
        <v>15</v>
      </c>
      <c r="O156" s="202" t="s">
        <v>10</v>
      </c>
      <c r="P156" s="202"/>
      <c r="Q156" s="202"/>
    </row>
    <row r="157" spans="1:17" hidden="1" x14ac:dyDescent="0.3">
      <c r="A157" s="29">
        <v>43250</v>
      </c>
      <c r="B157" s="3" t="s">
        <v>560</v>
      </c>
      <c r="C157" s="2" t="s">
        <v>559</v>
      </c>
      <c r="D157" s="9">
        <v>1.0005999999999999</v>
      </c>
      <c r="E157" s="56">
        <v>8.14</v>
      </c>
      <c r="F157" s="56">
        <f t="shared" si="9"/>
        <v>1.1397301619028584</v>
      </c>
      <c r="G157" s="3">
        <v>6.25</v>
      </c>
      <c r="H157" s="3">
        <v>0</v>
      </c>
      <c r="I157" s="56">
        <f t="shared" si="8"/>
        <v>7.1233135118928645</v>
      </c>
      <c r="J157" s="101" t="s">
        <v>10</v>
      </c>
      <c r="K157" s="101" t="s">
        <v>10</v>
      </c>
      <c r="L157" s="101" t="s">
        <v>10</v>
      </c>
      <c r="M157" s="3" t="s">
        <v>14</v>
      </c>
      <c r="N157" s="3" t="s">
        <v>15</v>
      </c>
      <c r="O157" s="202" t="s">
        <v>10</v>
      </c>
      <c r="P157" s="202"/>
      <c r="Q157" s="202"/>
    </row>
    <row r="158" spans="1:17" hidden="1" x14ac:dyDescent="0.3">
      <c r="A158" s="29">
        <v>43250</v>
      </c>
      <c r="B158" s="3" t="s">
        <v>562</v>
      </c>
      <c r="C158" s="2" t="s">
        <v>561</v>
      </c>
      <c r="D158" s="9">
        <v>1.0002</v>
      </c>
      <c r="E158" s="56">
        <v>8.2780000000000005</v>
      </c>
      <c r="F158" s="56">
        <f t="shared" si="9"/>
        <v>1.159515896820636</v>
      </c>
      <c r="G158" s="3">
        <v>6.25</v>
      </c>
      <c r="H158" s="3">
        <v>0</v>
      </c>
      <c r="I158" s="56">
        <f t="shared" si="8"/>
        <v>7.2469743551289749</v>
      </c>
      <c r="J158" s="101" t="s">
        <v>10</v>
      </c>
      <c r="K158" s="101" t="s">
        <v>10</v>
      </c>
      <c r="L158" s="101" t="s">
        <v>10</v>
      </c>
      <c r="M158" s="3" t="s">
        <v>14</v>
      </c>
      <c r="N158" s="3" t="s">
        <v>15</v>
      </c>
      <c r="O158" s="202" t="s">
        <v>10</v>
      </c>
      <c r="P158" s="202"/>
      <c r="Q158" s="202"/>
    </row>
    <row r="159" spans="1:17" hidden="1" x14ac:dyDescent="0.3">
      <c r="A159" s="61">
        <v>43248</v>
      </c>
      <c r="B159" s="3" t="s">
        <v>564</v>
      </c>
      <c r="C159" s="2" t="s">
        <v>563</v>
      </c>
      <c r="D159" s="9">
        <v>1.0008999999999999</v>
      </c>
      <c r="E159" s="56">
        <v>16.486000000000001</v>
      </c>
      <c r="F159" s="56">
        <f t="shared" si="9"/>
        <v>2.3076117494255177</v>
      </c>
      <c r="G159" s="3">
        <v>6.25</v>
      </c>
      <c r="H159" s="3">
        <v>0</v>
      </c>
      <c r="I159" s="56">
        <f t="shared" si="8"/>
        <v>14.422573433909486</v>
      </c>
      <c r="J159" s="101" t="s">
        <v>10</v>
      </c>
      <c r="K159" s="101" t="s">
        <v>10</v>
      </c>
      <c r="L159" s="101" t="s">
        <v>10</v>
      </c>
      <c r="M159" s="3" t="s">
        <v>14</v>
      </c>
      <c r="N159" s="3" t="s">
        <v>15</v>
      </c>
      <c r="O159" s="202" t="s">
        <v>10</v>
      </c>
      <c r="P159" s="202"/>
      <c r="Q159" s="202"/>
    </row>
    <row r="160" spans="1:17" hidden="1" x14ac:dyDescent="0.3">
      <c r="A160" s="61">
        <v>43248</v>
      </c>
      <c r="B160" s="3" t="s">
        <v>565</v>
      </c>
      <c r="C160" s="2" t="s">
        <v>545</v>
      </c>
      <c r="D160" s="9">
        <v>1.0005999999999999</v>
      </c>
      <c r="E160" s="56">
        <v>5.4560000000000004</v>
      </c>
      <c r="F160" s="56">
        <f t="shared" si="9"/>
        <v>0.76392724365380782</v>
      </c>
      <c r="G160" s="3">
        <v>6.25</v>
      </c>
      <c r="H160" s="3">
        <v>0</v>
      </c>
      <c r="I160" s="56">
        <f t="shared" si="8"/>
        <v>4.7745452728362991</v>
      </c>
      <c r="J160" s="101" t="s">
        <v>10</v>
      </c>
      <c r="K160" s="101" t="s">
        <v>10</v>
      </c>
      <c r="L160" s="101" t="s">
        <v>10</v>
      </c>
      <c r="M160" s="3" t="s">
        <v>14</v>
      </c>
      <c r="N160" s="3" t="s">
        <v>15</v>
      </c>
      <c r="O160" s="202" t="s">
        <v>10</v>
      </c>
      <c r="P160" s="202"/>
      <c r="Q160" s="202"/>
    </row>
    <row r="161" spans="1:17" hidden="1" x14ac:dyDescent="0.3">
      <c r="A161" s="61">
        <v>43252</v>
      </c>
      <c r="B161" s="3" t="s">
        <v>565</v>
      </c>
      <c r="C161" s="2" t="s">
        <v>566</v>
      </c>
      <c r="D161" s="9">
        <f>+'FIBRA DIETARIA KIT'!H69</f>
        <v>0.45879999999999654</v>
      </c>
      <c r="E161" s="56">
        <v>6.524</v>
      </c>
      <c r="F161" s="56">
        <f t="shared" si="9"/>
        <v>1.9921804707933894</v>
      </c>
      <c r="G161" s="3">
        <v>6.25</v>
      </c>
      <c r="H161" s="3">
        <v>0</v>
      </c>
      <c r="I161" s="56">
        <f t="shared" si="8"/>
        <v>12.451127942458683</v>
      </c>
      <c r="J161" s="101" t="s">
        <v>10</v>
      </c>
      <c r="K161" s="101" t="s">
        <v>10</v>
      </c>
      <c r="L161" s="101" t="s">
        <v>10</v>
      </c>
      <c r="M161" s="3" t="s">
        <v>14</v>
      </c>
      <c r="N161" s="3" t="s">
        <v>15</v>
      </c>
      <c r="O161" s="202" t="s">
        <v>10</v>
      </c>
      <c r="P161" s="202"/>
      <c r="Q161" s="202"/>
    </row>
    <row r="162" spans="1:17" hidden="1" x14ac:dyDescent="0.3">
      <c r="A162" s="61">
        <v>43259</v>
      </c>
      <c r="B162" s="3" t="s">
        <v>571</v>
      </c>
      <c r="C162" s="2" t="s">
        <v>573</v>
      </c>
      <c r="D162" s="9">
        <v>1.0001</v>
      </c>
      <c r="E162" s="56">
        <v>13.981999999999999</v>
      </c>
      <c r="F162" s="56">
        <f t="shared" si="9"/>
        <v>1.9586823317668236</v>
      </c>
      <c r="G162" s="3">
        <v>6.38</v>
      </c>
      <c r="H162" s="3">
        <v>0</v>
      </c>
      <c r="I162" s="56">
        <f t="shared" si="8"/>
        <v>12.496393276672334</v>
      </c>
      <c r="J162" s="101" t="s">
        <v>10</v>
      </c>
      <c r="K162" s="101" t="s">
        <v>10</v>
      </c>
      <c r="L162" s="101" t="s">
        <v>10</v>
      </c>
      <c r="M162" s="3" t="s">
        <v>14</v>
      </c>
      <c r="N162" s="3" t="s">
        <v>15</v>
      </c>
      <c r="O162" s="202" t="s">
        <v>10</v>
      </c>
      <c r="P162" s="202"/>
      <c r="Q162" s="202"/>
    </row>
    <row r="163" spans="1:17" hidden="1" x14ac:dyDescent="0.3">
      <c r="A163" s="61">
        <v>43260</v>
      </c>
      <c r="B163" s="3" t="s">
        <v>572</v>
      </c>
      <c r="C163" s="2" t="s">
        <v>574</v>
      </c>
      <c r="D163" s="9">
        <v>1.0004</v>
      </c>
      <c r="E163" s="56">
        <v>47.997999999999998</v>
      </c>
      <c r="F163" s="56">
        <f t="shared" si="9"/>
        <v>6.7218310675729711</v>
      </c>
      <c r="G163" s="3">
        <v>6.38</v>
      </c>
      <c r="H163" s="3">
        <v>0</v>
      </c>
      <c r="I163" s="56">
        <f t="shared" si="8"/>
        <v>42.885282211115552</v>
      </c>
      <c r="J163" s="101" t="s">
        <v>10</v>
      </c>
      <c r="K163" s="101" t="s">
        <v>10</v>
      </c>
      <c r="L163" s="101" t="s">
        <v>10</v>
      </c>
      <c r="M163" s="3" t="s">
        <v>14</v>
      </c>
      <c r="N163" s="3" t="s">
        <v>15</v>
      </c>
      <c r="O163" s="202" t="s">
        <v>10</v>
      </c>
      <c r="P163" s="202"/>
      <c r="Q163" s="202"/>
    </row>
    <row r="164" spans="1:17" hidden="1" x14ac:dyDescent="0.3">
      <c r="A164" s="61">
        <v>43259</v>
      </c>
      <c r="B164" s="15" t="s">
        <v>575</v>
      </c>
      <c r="C164" s="2" t="s">
        <v>576</v>
      </c>
      <c r="D164" s="9">
        <v>1.0008999999999999</v>
      </c>
      <c r="E164" s="56">
        <v>8.952</v>
      </c>
      <c r="F164" s="56">
        <f t="shared" si="9"/>
        <v>1.2530474572884405</v>
      </c>
      <c r="G164" s="3">
        <v>6.25</v>
      </c>
      <c r="H164" s="3">
        <v>0</v>
      </c>
      <c r="I164" s="56">
        <f t="shared" si="8"/>
        <v>7.8315466080527525</v>
      </c>
      <c r="J164" s="101" t="s">
        <v>10</v>
      </c>
      <c r="K164" s="101" t="s">
        <v>10</v>
      </c>
      <c r="L164" s="101" t="s">
        <v>10</v>
      </c>
      <c r="M164" s="3" t="s">
        <v>14</v>
      </c>
      <c r="N164" s="3" t="s">
        <v>15</v>
      </c>
      <c r="O164" s="202" t="s">
        <v>10</v>
      </c>
      <c r="P164" s="202"/>
      <c r="Q164" s="202"/>
    </row>
    <row r="165" spans="1:17" hidden="1" x14ac:dyDescent="0.3">
      <c r="A165" s="61">
        <v>43259</v>
      </c>
      <c r="B165" s="3" t="s">
        <v>570</v>
      </c>
      <c r="C165" s="2" t="s">
        <v>569</v>
      </c>
      <c r="D165" s="9">
        <v>1.0008999999999999</v>
      </c>
      <c r="E165" s="56">
        <v>22.452000000000002</v>
      </c>
      <c r="F165" s="56">
        <f t="shared" si="9"/>
        <v>3.1426967729043866</v>
      </c>
      <c r="G165" s="3">
        <v>6.25</v>
      </c>
      <c r="H165" s="3">
        <v>0</v>
      </c>
      <c r="I165" s="56">
        <f t="shared" si="8"/>
        <v>19.641854830652417</v>
      </c>
      <c r="J165" s="101" t="s">
        <v>10</v>
      </c>
      <c r="K165" s="101" t="s">
        <v>10</v>
      </c>
      <c r="L165" s="101" t="s">
        <v>10</v>
      </c>
      <c r="M165" s="3" t="s">
        <v>14</v>
      </c>
      <c r="N165" s="3" t="s">
        <v>15</v>
      </c>
      <c r="O165" s="202" t="s">
        <v>10</v>
      </c>
      <c r="P165" s="202"/>
      <c r="Q165" s="202"/>
    </row>
    <row r="166" spans="1:17" hidden="1" x14ac:dyDescent="0.3">
      <c r="A166" s="61">
        <v>43259</v>
      </c>
      <c r="B166" s="3" t="s">
        <v>570</v>
      </c>
      <c r="C166" s="2" t="s">
        <v>577</v>
      </c>
      <c r="D166" s="9">
        <f>+'FIBRA DIETARIA KIT'!H71</f>
        <v>0.46119999999999806</v>
      </c>
      <c r="E166" s="56">
        <v>12.151999999999999</v>
      </c>
      <c r="F166" s="56">
        <f t="shared" si="9"/>
        <v>3.6914466608846639</v>
      </c>
      <c r="G166" s="3">
        <v>6.25</v>
      </c>
      <c r="H166" s="3">
        <v>0</v>
      </c>
      <c r="I166" s="56">
        <f t="shared" si="8"/>
        <v>23.071541630529151</v>
      </c>
      <c r="J166" s="101" t="s">
        <v>10</v>
      </c>
      <c r="K166" s="101" t="s">
        <v>10</v>
      </c>
      <c r="L166" s="101" t="s">
        <v>10</v>
      </c>
      <c r="M166" s="3" t="s">
        <v>14</v>
      </c>
      <c r="N166" s="3" t="s">
        <v>15</v>
      </c>
      <c r="O166" s="202" t="s">
        <v>10</v>
      </c>
      <c r="P166" s="202"/>
      <c r="Q166" s="202"/>
    </row>
    <row r="167" spans="1:17" hidden="1" x14ac:dyDescent="0.3">
      <c r="A167" s="61">
        <v>43263</v>
      </c>
      <c r="B167" s="3" t="s">
        <v>578</v>
      </c>
      <c r="C167" s="2" t="s">
        <v>579</v>
      </c>
      <c r="D167" s="9">
        <v>0.6</v>
      </c>
      <c r="E167" s="56">
        <v>7.7119999999999997</v>
      </c>
      <c r="F167" s="56">
        <f t="shared" si="9"/>
        <v>1.8007519999999999</v>
      </c>
      <c r="G167" s="3">
        <v>6.25</v>
      </c>
      <c r="H167" s="3">
        <v>0</v>
      </c>
      <c r="I167" s="56">
        <f t="shared" si="8"/>
        <v>11.2547</v>
      </c>
      <c r="J167" s="101" t="s">
        <v>10</v>
      </c>
      <c r="K167" s="101" t="s">
        <v>10</v>
      </c>
      <c r="L167" s="101" t="s">
        <v>10</v>
      </c>
      <c r="M167" s="3" t="s">
        <v>14</v>
      </c>
      <c r="N167" s="3" t="s">
        <v>15</v>
      </c>
      <c r="O167" s="202" t="s">
        <v>10</v>
      </c>
      <c r="P167" s="202"/>
      <c r="Q167" s="202"/>
    </row>
    <row r="168" spans="1:17" hidden="1" x14ac:dyDescent="0.3">
      <c r="A168" s="61">
        <v>43263</v>
      </c>
      <c r="B168" s="3" t="s">
        <v>581</v>
      </c>
      <c r="C168" s="2" t="s">
        <v>580</v>
      </c>
      <c r="D168" s="9">
        <v>1.0008999999999999</v>
      </c>
      <c r="E168" s="56">
        <v>9.4380000000000006</v>
      </c>
      <c r="F168" s="56">
        <f t="shared" si="9"/>
        <v>1.3210748326506148</v>
      </c>
      <c r="G168" s="3">
        <v>6.25</v>
      </c>
      <c r="H168" s="3">
        <v>0</v>
      </c>
      <c r="I168" s="56">
        <f t="shared" si="8"/>
        <v>8.2567177040663431</v>
      </c>
      <c r="J168" s="101" t="s">
        <v>10</v>
      </c>
      <c r="K168" s="101" t="s">
        <v>10</v>
      </c>
      <c r="L168" s="101" t="s">
        <v>10</v>
      </c>
      <c r="M168" s="3" t="s">
        <v>14</v>
      </c>
      <c r="N168" s="3" t="s">
        <v>15</v>
      </c>
      <c r="O168" s="202" t="s">
        <v>10</v>
      </c>
      <c r="P168" s="202"/>
      <c r="Q168" s="202"/>
    </row>
    <row r="169" spans="1:17" hidden="1" x14ac:dyDescent="0.3">
      <c r="A169" s="61">
        <v>43263</v>
      </c>
      <c r="B169" s="3" t="s">
        <v>582</v>
      </c>
      <c r="C169" s="2" t="s">
        <v>583</v>
      </c>
      <c r="D169" s="9">
        <v>1.0007999999999999</v>
      </c>
      <c r="E169" s="56">
        <v>14.534000000000001</v>
      </c>
      <c r="F169" s="56">
        <f t="shared" si="9"/>
        <v>2.0345857314148685</v>
      </c>
      <c r="G169" s="3">
        <v>6.25</v>
      </c>
      <c r="H169" s="3">
        <v>0</v>
      </c>
      <c r="I169" s="56">
        <f t="shared" si="8"/>
        <v>12.716160821342928</v>
      </c>
      <c r="J169" s="101" t="s">
        <v>10</v>
      </c>
      <c r="K169" s="101" t="s">
        <v>10</v>
      </c>
      <c r="L169" s="101" t="s">
        <v>10</v>
      </c>
      <c r="M169" s="3" t="s">
        <v>14</v>
      </c>
      <c r="N169" s="3" t="s">
        <v>15</v>
      </c>
      <c r="O169" s="202" t="s">
        <v>10</v>
      </c>
      <c r="P169" s="202"/>
      <c r="Q169" s="202"/>
    </row>
    <row r="170" spans="1:17" hidden="1" x14ac:dyDescent="0.3">
      <c r="A170" s="61">
        <v>43263</v>
      </c>
      <c r="B170" s="3" t="s">
        <v>584</v>
      </c>
      <c r="C170" s="2" t="s">
        <v>585</v>
      </c>
      <c r="D170" s="9">
        <v>1.0008999999999999</v>
      </c>
      <c r="E170" s="56">
        <v>40.695999999999998</v>
      </c>
      <c r="F170" s="56">
        <f t="shared" si="9"/>
        <v>5.6963828554301141</v>
      </c>
      <c r="G170" s="3">
        <v>6.25</v>
      </c>
      <c r="H170" s="3">
        <v>0</v>
      </c>
      <c r="I170" s="56">
        <f t="shared" si="8"/>
        <v>35.602392846438214</v>
      </c>
      <c r="J170" s="101" t="s">
        <v>10</v>
      </c>
      <c r="K170" s="101" t="s">
        <v>10</v>
      </c>
      <c r="L170" s="101" t="s">
        <v>10</v>
      </c>
      <c r="M170" s="3" t="s">
        <v>14</v>
      </c>
      <c r="N170" s="3" t="s">
        <v>15</v>
      </c>
      <c r="O170" s="202" t="s">
        <v>10</v>
      </c>
      <c r="P170" s="202"/>
      <c r="Q170" s="202"/>
    </row>
    <row r="171" spans="1:17" hidden="1" x14ac:dyDescent="0.3">
      <c r="A171" s="61">
        <v>43263</v>
      </c>
      <c r="B171" s="3" t="s">
        <v>586</v>
      </c>
      <c r="C171" s="2" t="s">
        <v>587</v>
      </c>
      <c r="D171" s="9">
        <v>1.0008999999999999</v>
      </c>
      <c r="E171" s="56">
        <v>3.38</v>
      </c>
      <c r="F171" s="56">
        <f t="shared" si="9"/>
        <v>0.47311219902088131</v>
      </c>
      <c r="G171" s="3">
        <v>6.25</v>
      </c>
      <c r="H171" s="3">
        <v>0</v>
      </c>
      <c r="I171" s="56">
        <f t="shared" si="8"/>
        <v>2.9569512438805083</v>
      </c>
      <c r="J171" s="101" t="s">
        <v>10</v>
      </c>
      <c r="K171" s="101" t="s">
        <v>10</v>
      </c>
      <c r="L171" s="101" t="s">
        <v>10</v>
      </c>
      <c r="M171" s="3" t="s">
        <v>14</v>
      </c>
      <c r="N171" s="3" t="s">
        <v>15</v>
      </c>
      <c r="O171" s="202" t="s">
        <v>10</v>
      </c>
      <c r="P171" s="202"/>
      <c r="Q171" s="202"/>
    </row>
    <row r="172" spans="1:17" hidden="1" x14ac:dyDescent="0.3">
      <c r="A172" s="61">
        <v>43263</v>
      </c>
      <c r="B172" s="3" t="s">
        <v>588</v>
      </c>
      <c r="C172" s="2" t="s">
        <v>589</v>
      </c>
      <c r="D172" s="9">
        <v>1.0004</v>
      </c>
      <c r="E172" s="56">
        <v>8.4120000000000008</v>
      </c>
      <c r="F172" s="56">
        <f t="shared" si="9"/>
        <v>1.1780499800079969</v>
      </c>
      <c r="G172" s="3">
        <v>6.25</v>
      </c>
      <c r="H172" s="3">
        <v>0</v>
      </c>
      <c r="I172" s="54">
        <f t="shared" si="8"/>
        <v>7.3628123750499803</v>
      </c>
      <c r="J172" s="101" t="s">
        <v>10</v>
      </c>
      <c r="K172" s="101" t="s">
        <v>10</v>
      </c>
      <c r="L172" s="101" t="s">
        <v>10</v>
      </c>
      <c r="M172" s="3" t="s">
        <v>14</v>
      </c>
      <c r="N172" s="3" t="s">
        <v>15</v>
      </c>
      <c r="O172" s="202" t="s">
        <v>10</v>
      </c>
      <c r="P172" s="202"/>
      <c r="Q172" s="202"/>
    </row>
    <row r="173" spans="1:17" hidden="1" x14ac:dyDescent="0.3">
      <c r="A173" s="61">
        <v>43263</v>
      </c>
      <c r="B173" s="3" t="s">
        <v>590</v>
      </c>
      <c r="C173" s="2" t="s">
        <v>591</v>
      </c>
      <c r="D173" s="9">
        <v>1.0001</v>
      </c>
      <c r="E173" s="56">
        <v>8.3979999999999997</v>
      </c>
      <c r="F173" s="56">
        <f t="shared" si="9"/>
        <v>1.1764421557844216</v>
      </c>
      <c r="G173" s="3">
        <v>6.25</v>
      </c>
      <c r="H173" s="3">
        <v>0</v>
      </c>
      <c r="I173" s="54">
        <f t="shared" si="8"/>
        <v>7.3527634736526348</v>
      </c>
      <c r="J173" s="101" t="s">
        <v>10</v>
      </c>
      <c r="K173" s="101" t="s">
        <v>10</v>
      </c>
      <c r="L173" s="101" t="s">
        <v>10</v>
      </c>
      <c r="M173" s="3" t="s">
        <v>14</v>
      </c>
      <c r="N173" s="3" t="s">
        <v>15</v>
      </c>
      <c r="O173" s="202" t="s">
        <v>10</v>
      </c>
      <c r="P173" s="202"/>
      <c r="Q173" s="202"/>
    </row>
    <row r="174" spans="1:17" hidden="1" x14ac:dyDescent="0.3">
      <c r="A174" s="61">
        <v>43264</v>
      </c>
      <c r="B174" s="3" t="s">
        <v>571</v>
      </c>
      <c r="C174" s="2" t="s">
        <v>573</v>
      </c>
      <c r="D174" s="9">
        <v>1.0007999999999999</v>
      </c>
      <c r="E174" s="56">
        <v>13.846</v>
      </c>
      <c r="F174" s="56">
        <f t="shared" si="9"/>
        <v>1.938273980815348</v>
      </c>
      <c r="G174" s="3">
        <v>6.38</v>
      </c>
      <c r="H174" s="3">
        <v>0</v>
      </c>
      <c r="I174" s="56">
        <f t="shared" si="8"/>
        <v>12.366187997601919</v>
      </c>
      <c r="J174" s="101" t="s">
        <v>10</v>
      </c>
      <c r="K174" s="101" t="s">
        <v>10</v>
      </c>
      <c r="L174" s="101" t="s">
        <v>10</v>
      </c>
      <c r="M174" s="3" t="s">
        <v>14</v>
      </c>
      <c r="N174" s="3" t="s">
        <v>15</v>
      </c>
      <c r="O174" s="202" t="s">
        <v>10</v>
      </c>
      <c r="P174" s="202"/>
      <c r="Q174" s="202"/>
    </row>
    <row r="175" spans="1:17" hidden="1" x14ac:dyDescent="0.3">
      <c r="A175" s="61">
        <v>43263</v>
      </c>
      <c r="B175" s="3" t="s">
        <v>604</v>
      </c>
      <c r="C175" s="2" t="s">
        <v>608</v>
      </c>
      <c r="D175" s="9">
        <v>1.0008999999999999</v>
      </c>
      <c r="E175" s="56">
        <v>8.891</v>
      </c>
      <c r="F175" s="56">
        <f t="shared" si="9"/>
        <v>1.2445090418623241</v>
      </c>
      <c r="G175" s="3">
        <v>6.25</v>
      </c>
      <c r="H175" s="3">
        <v>0</v>
      </c>
      <c r="I175" s="56">
        <f t="shared" si="8"/>
        <v>7.7781815116395254</v>
      </c>
      <c r="J175" s="101" t="s">
        <v>10</v>
      </c>
      <c r="K175" s="101" t="s">
        <v>10</v>
      </c>
      <c r="L175" s="101" t="s">
        <v>10</v>
      </c>
      <c r="M175" s="3" t="s">
        <v>14</v>
      </c>
      <c r="N175" s="3" t="s">
        <v>15</v>
      </c>
      <c r="O175" s="202" t="s">
        <v>10</v>
      </c>
      <c r="P175" s="202"/>
      <c r="Q175" s="202"/>
    </row>
    <row r="176" spans="1:17" hidden="1" x14ac:dyDescent="0.3">
      <c r="A176" s="61">
        <v>43263</v>
      </c>
      <c r="B176" s="3" t="s">
        <v>605</v>
      </c>
      <c r="C176" s="2" t="s">
        <v>609</v>
      </c>
      <c r="D176" s="9">
        <v>1.0008999999999999</v>
      </c>
      <c r="E176" s="56">
        <v>2.4900000000000002</v>
      </c>
      <c r="F176" s="56">
        <f t="shared" si="9"/>
        <v>0.34853531821360784</v>
      </c>
      <c r="G176" s="3">
        <v>6.25</v>
      </c>
      <c r="H176" s="3">
        <v>0</v>
      </c>
      <c r="I176" s="56">
        <f t="shared" si="8"/>
        <v>2.1783457388350489</v>
      </c>
      <c r="J176" s="101" t="s">
        <v>10</v>
      </c>
      <c r="K176" s="101" t="s">
        <v>10</v>
      </c>
      <c r="L176" s="101" t="s">
        <v>10</v>
      </c>
      <c r="M176" s="3" t="s">
        <v>14</v>
      </c>
      <c r="N176" s="3" t="s">
        <v>15</v>
      </c>
      <c r="O176" s="202" t="s">
        <v>10</v>
      </c>
      <c r="P176" s="202"/>
      <c r="Q176" s="202"/>
    </row>
    <row r="177" spans="1:17" hidden="1" x14ac:dyDescent="0.3">
      <c r="A177" s="61">
        <v>43263</v>
      </c>
      <c r="B177" s="3" t="s">
        <v>606</v>
      </c>
      <c r="C177" s="2" t="s">
        <v>610</v>
      </c>
      <c r="D177" s="9">
        <v>1.0008999999999999</v>
      </c>
      <c r="E177" s="56">
        <v>2.794</v>
      </c>
      <c r="F177" s="56">
        <f t="shared" si="9"/>
        <v>0.39108742132081137</v>
      </c>
      <c r="G177" s="3">
        <v>6.25</v>
      </c>
      <c r="H177" s="3">
        <v>0</v>
      </c>
      <c r="I177" s="56">
        <f t="shared" ref="I177:I208" si="10">+F177*G177*((100-H177)/100)</f>
        <v>2.4442963832550713</v>
      </c>
      <c r="J177" s="101" t="s">
        <v>10</v>
      </c>
      <c r="K177" s="101" t="s">
        <v>10</v>
      </c>
      <c r="L177" s="101" t="s">
        <v>10</v>
      </c>
      <c r="M177" s="3" t="s">
        <v>14</v>
      </c>
      <c r="N177" s="3" t="s">
        <v>15</v>
      </c>
      <c r="O177" s="202" t="s">
        <v>10</v>
      </c>
      <c r="P177" s="202"/>
      <c r="Q177" s="202"/>
    </row>
    <row r="178" spans="1:17" hidden="1" x14ac:dyDescent="0.3">
      <c r="A178" s="61">
        <v>43263</v>
      </c>
      <c r="B178" s="3" t="s">
        <v>607</v>
      </c>
      <c r="C178" s="2" t="s">
        <v>611</v>
      </c>
      <c r="D178" s="9">
        <v>1.0004999999999999</v>
      </c>
      <c r="E178" s="56">
        <v>2.294</v>
      </c>
      <c r="F178" s="56">
        <f t="shared" si="9"/>
        <v>0.32122878560719648</v>
      </c>
      <c r="G178" s="3">
        <v>6.25</v>
      </c>
      <c r="H178" s="3">
        <v>0</v>
      </c>
      <c r="I178" s="56">
        <f t="shared" si="10"/>
        <v>2.007679910044978</v>
      </c>
      <c r="J178" s="101" t="s">
        <v>10</v>
      </c>
      <c r="K178" s="101" t="s">
        <v>10</v>
      </c>
      <c r="L178" s="101" t="s">
        <v>10</v>
      </c>
      <c r="M178" s="3" t="s">
        <v>14</v>
      </c>
      <c r="N178" s="3" t="s">
        <v>15</v>
      </c>
      <c r="O178" s="202" t="s">
        <v>10</v>
      </c>
      <c r="P178" s="202"/>
      <c r="Q178" s="202"/>
    </row>
    <row r="179" spans="1:17" hidden="1" x14ac:dyDescent="0.3">
      <c r="A179" s="61">
        <v>43264</v>
      </c>
      <c r="B179" s="3" t="s">
        <v>612</v>
      </c>
      <c r="C179" s="2" t="s">
        <v>613</v>
      </c>
      <c r="D179" s="9">
        <v>1.0007999999999999</v>
      </c>
      <c r="E179" s="56">
        <v>4.22</v>
      </c>
      <c r="F179" s="56">
        <f t="shared" si="9"/>
        <v>0.59074940047961633</v>
      </c>
      <c r="G179" s="3">
        <v>6.25</v>
      </c>
      <c r="H179" s="3">
        <v>0</v>
      </c>
      <c r="I179" s="56">
        <f t="shared" si="10"/>
        <v>3.692183752997602</v>
      </c>
      <c r="J179" s="101" t="s">
        <v>10</v>
      </c>
      <c r="K179" s="101" t="s">
        <v>10</v>
      </c>
      <c r="L179" s="101" t="s">
        <v>10</v>
      </c>
      <c r="M179" s="3" t="s">
        <v>14</v>
      </c>
      <c r="N179" s="3" t="s">
        <v>15</v>
      </c>
      <c r="O179" s="202" t="s">
        <v>10</v>
      </c>
      <c r="P179" s="202"/>
      <c r="Q179" s="202"/>
    </row>
    <row r="180" spans="1:17" hidden="1" x14ac:dyDescent="0.3">
      <c r="A180" s="61">
        <v>43264</v>
      </c>
      <c r="B180" s="3" t="s">
        <v>614</v>
      </c>
      <c r="C180" s="2" t="s">
        <v>619</v>
      </c>
      <c r="D180" s="9">
        <v>1.0005999999999999</v>
      </c>
      <c r="E180" s="56">
        <v>1.9239999999999999</v>
      </c>
      <c r="F180" s="56">
        <f t="shared" si="9"/>
        <v>0.26939076554067559</v>
      </c>
      <c r="G180" s="3">
        <v>6.25</v>
      </c>
      <c r="H180" s="3">
        <v>0</v>
      </c>
      <c r="I180" s="56">
        <f t="shared" si="10"/>
        <v>1.6836922846292224</v>
      </c>
      <c r="J180" s="101" t="s">
        <v>10</v>
      </c>
      <c r="K180" s="101" t="s">
        <v>10</v>
      </c>
      <c r="L180" s="101" t="s">
        <v>10</v>
      </c>
      <c r="M180" s="3" t="s">
        <v>14</v>
      </c>
      <c r="N180" s="3" t="s">
        <v>15</v>
      </c>
      <c r="O180" s="202" t="s">
        <v>10</v>
      </c>
      <c r="P180" s="202"/>
      <c r="Q180" s="202"/>
    </row>
    <row r="181" spans="1:17" hidden="1" x14ac:dyDescent="0.3">
      <c r="A181" s="61">
        <v>43264</v>
      </c>
      <c r="B181" s="3" t="s">
        <v>615</v>
      </c>
      <c r="C181" s="2" t="s">
        <v>620</v>
      </c>
      <c r="D181" s="9">
        <v>1.0008999999999999</v>
      </c>
      <c r="E181" s="56">
        <v>2.536</v>
      </c>
      <c r="F181" s="56">
        <f t="shared" si="9"/>
        <v>0.35497412328903988</v>
      </c>
      <c r="G181" s="3">
        <v>6.25</v>
      </c>
      <c r="H181" s="3">
        <v>0</v>
      </c>
      <c r="I181" s="56">
        <f t="shared" si="10"/>
        <v>2.2185882705564994</v>
      </c>
      <c r="J181" s="101" t="s">
        <v>10</v>
      </c>
      <c r="K181" s="101" t="s">
        <v>10</v>
      </c>
      <c r="L181" s="101" t="s">
        <v>10</v>
      </c>
      <c r="M181" s="3" t="s">
        <v>14</v>
      </c>
      <c r="N181" s="3" t="s">
        <v>15</v>
      </c>
      <c r="O181" s="202" t="s">
        <v>10</v>
      </c>
      <c r="P181" s="202"/>
      <c r="Q181" s="202"/>
    </row>
    <row r="182" spans="1:17" hidden="1" x14ac:dyDescent="0.3">
      <c r="A182" s="61">
        <v>43264</v>
      </c>
      <c r="B182" s="3" t="s">
        <v>616</v>
      </c>
      <c r="C182" s="2" t="s">
        <v>621</v>
      </c>
      <c r="D182" s="9">
        <v>1.0008999999999999</v>
      </c>
      <c r="E182" s="56">
        <v>4.718</v>
      </c>
      <c r="F182" s="56">
        <f t="shared" si="9"/>
        <v>0.66039744230192832</v>
      </c>
      <c r="G182" s="3">
        <v>6.25</v>
      </c>
      <c r="H182" s="3">
        <v>0</v>
      </c>
      <c r="I182" s="56">
        <f t="shared" si="10"/>
        <v>4.1274840143870524</v>
      </c>
      <c r="J182" s="101" t="s">
        <v>10</v>
      </c>
      <c r="K182" s="101" t="s">
        <v>10</v>
      </c>
      <c r="L182" s="101" t="s">
        <v>10</v>
      </c>
      <c r="M182" s="3" t="s">
        <v>14</v>
      </c>
      <c r="N182" s="3" t="s">
        <v>15</v>
      </c>
      <c r="O182" s="202" t="s">
        <v>10</v>
      </c>
      <c r="P182" s="202"/>
      <c r="Q182" s="202"/>
    </row>
    <row r="183" spans="1:17" hidden="1" x14ac:dyDescent="0.3">
      <c r="A183" s="61">
        <v>43264</v>
      </c>
      <c r="B183" s="3" t="s">
        <v>617</v>
      </c>
      <c r="C183" s="2" t="s">
        <v>622</v>
      </c>
      <c r="D183" s="9">
        <v>1.0006999999999999</v>
      </c>
      <c r="E183" s="56">
        <v>3.8479999999999999</v>
      </c>
      <c r="F183" s="56">
        <f t="shared" si="9"/>
        <v>0.53872769061656844</v>
      </c>
      <c r="G183" s="3">
        <v>6.25</v>
      </c>
      <c r="H183" s="3">
        <v>0</v>
      </c>
      <c r="I183" s="56">
        <f t="shared" si="10"/>
        <v>3.3670480663535529</v>
      </c>
      <c r="J183" s="101" t="s">
        <v>10</v>
      </c>
      <c r="K183" s="101" t="s">
        <v>10</v>
      </c>
      <c r="L183" s="101" t="s">
        <v>10</v>
      </c>
      <c r="M183" s="3" t="s">
        <v>14</v>
      </c>
      <c r="N183" s="3" t="s">
        <v>15</v>
      </c>
      <c r="O183" s="202" t="s">
        <v>10</v>
      </c>
      <c r="P183" s="202"/>
      <c r="Q183" s="202"/>
    </row>
    <row r="184" spans="1:17" hidden="1" x14ac:dyDescent="0.3">
      <c r="A184" s="61">
        <v>43264</v>
      </c>
      <c r="B184" s="3" t="s">
        <v>618</v>
      </c>
      <c r="C184" s="2" t="s">
        <v>623</v>
      </c>
      <c r="D184" s="9">
        <v>1.0008999999999999</v>
      </c>
      <c r="E184" s="56">
        <v>3.71</v>
      </c>
      <c r="F184" s="56">
        <f t="shared" si="9"/>
        <v>0.51930362673593766</v>
      </c>
      <c r="G184" s="3">
        <v>6.25</v>
      </c>
      <c r="H184" s="3">
        <v>0</v>
      </c>
      <c r="I184" s="56">
        <f t="shared" si="10"/>
        <v>3.2456476670996102</v>
      </c>
      <c r="J184" s="101" t="s">
        <v>10</v>
      </c>
      <c r="K184" s="101" t="s">
        <v>10</v>
      </c>
      <c r="L184" s="101" t="s">
        <v>10</v>
      </c>
      <c r="M184" s="3" t="s">
        <v>14</v>
      </c>
      <c r="N184" s="3" t="s">
        <v>15</v>
      </c>
      <c r="O184" s="202" t="s">
        <v>10</v>
      </c>
      <c r="P184" s="202"/>
      <c r="Q184" s="202"/>
    </row>
    <row r="185" spans="1:17" hidden="1" x14ac:dyDescent="0.3">
      <c r="A185" s="61">
        <v>43264</v>
      </c>
      <c r="B185" s="3" t="s">
        <v>624</v>
      </c>
      <c r="C185" s="2" t="s">
        <v>625</v>
      </c>
      <c r="D185" s="9">
        <v>1.0008999999999999</v>
      </c>
      <c r="E185" s="56">
        <v>3.77</v>
      </c>
      <c r="F185" s="56">
        <f t="shared" si="9"/>
        <v>0.52770206813867526</v>
      </c>
      <c r="G185" s="3">
        <v>6.25</v>
      </c>
      <c r="H185" s="3">
        <v>0</v>
      </c>
      <c r="I185" s="56">
        <f t="shared" si="10"/>
        <v>3.2981379258667203</v>
      </c>
      <c r="J185" s="101" t="s">
        <v>10</v>
      </c>
      <c r="K185" s="101" t="s">
        <v>10</v>
      </c>
      <c r="L185" s="101" t="s">
        <v>10</v>
      </c>
      <c r="M185" s="3" t="s">
        <v>14</v>
      </c>
      <c r="N185" s="3" t="s">
        <v>15</v>
      </c>
      <c r="O185" s="202" t="s">
        <v>10</v>
      </c>
      <c r="P185" s="202"/>
      <c r="Q185" s="202"/>
    </row>
    <row r="186" spans="1:17" hidden="1" x14ac:dyDescent="0.3">
      <c r="A186" s="61">
        <v>43266</v>
      </c>
      <c r="B186" s="3" t="s">
        <v>626</v>
      </c>
      <c r="C186" s="2" t="s">
        <v>627</v>
      </c>
      <c r="D186" s="9">
        <v>1.0005999999999999</v>
      </c>
      <c r="E186" s="56">
        <v>2.62</v>
      </c>
      <c r="F186" s="56">
        <f t="shared" si="9"/>
        <v>0.36684189486308216</v>
      </c>
      <c r="G186" s="3">
        <v>6.25</v>
      </c>
      <c r="H186" s="3">
        <v>0</v>
      </c>
      <c r="I186" s="56">
        <f t="shared" si="10"/>
        <v>2.2927618428942633</v>
      </c>
      <c r="J186" s="101" t="s">
        <v>10</v>
      </c>
      <c r="K186" s="101" t="s">
        <v>10</v>
      </c>
      <c r="L186" s="101" t="s">
        <v>10</v>
      </c>
      <c r="M186" s="3" t="s">
        <v>14</v>
      </c>
      <c r="N186" s="3" t="s">
        <v>15</v>
      </c>
      <c r="O186" s="202" t="s">
        <v>10</v>
      </c>
      <c r="P186" s="202"/>
      <c r="Q186" s="202"/>
    </row>
    <row r="187" spans="1:17" hidden="1" x14ac:dyDescent="0.3">
      <c r="A187" s="61">
        <v>43266</v>
      </c>
      <c r="B187" s="3" t="s">
        <v>628</v>
      </c>
      <c r="C187" s="2" t="s">
        <v>629</v>
      </c>
      <c r="D187" s="9">
        <v>1.0004999999999999</v>
      </c>
      <c r="E187" s="56">
        <v>4.0199999999999996</v>
      </c>
      <c r="F187" s="56">
        <f t="shared" si="9"/>
        <v>0.56292053973013501</v>
      </c>
      <c r="G187" s="3">
        <v>6.25</v>
      </c>
      <c r="H187" s="3">
        <v>0</v>
      </c>
      <c r="I187" s="56">
        <f t="shared" si="10"/>
        <v>3.5182533733133439</v>
      </c>
      <c r="J187" s="101" t="s">
        <v>10</v>
      </c>
      <c r="K187" s="101" t="s">
        <v>10</v>
      </c>
      <c r="L187" s="101" t="s">
        <v>10</v>
      </c>
      <c r="M187" s="3" t="s">
        <v>14</v>
      </c>
      <c r="N187" s="3" t="s">
        <v>15</v>
      </c>
      <c r="O187" s="202" t="s">
        <v>10</v>
      </c>
      <c r="P187" s="202"/>
      <c r="Q187" s="202"/>
    </row>
    <row r="188" spans="1:17" hidden="1" x14ac:dyDescent="0.3">
      <c r="A188" s="61">
        <v>43266</v>
      </c>
      <c r="B188" s="3" t="s">
        <v>630</v>
      </c>
      <c r="C188" s="2" t="s">
        <v>631</v>
      </c>
      <c r="D188" s="9">
        <v>1.0007999999999999</v>
      </c>
      <c r="E188" s="56">
        <v>3.5739999999999998</v>
      </c>
      <c r="F188" s="56">
        <f t="shared" si="9"/>
        <v>0.50031714628297363</v>
      </c>
      <c r="G188" s="3">
        <v>6.25</v>
      </c>
      <c r="H188" s="3">
        <v>0</v>
      </c>
      <c r="I188" s="56">
        <f t="shared" si="10"/>
        <v>3.1269821642685853</v>
      </c>
      <c r="J188" s="101" t="s">
        <v>10</v>
      </c>
      <c r="K188" s="101" t="s">
        <v>10</v>
      </c>
      <c r="L188" s="101" t="s">
        <v>10</v>
      </c>
      <c r="M188" s="3" t="s">
        <v>14</v>
      </c>
      <c r="N188" s="3" t="s">
        <v>15</v>
      </c>
      <c r="O188" s="202" t="s">
        <v>10</v>
      </c>
      <c r="P188" s="202"/>
      <c r="Q188" s="202"/>
    </row>
    <row r="189" spans="1:17" hidden="1" x14ac:dyDescent="0.3">
      <c r="A189" s="61">
        <v>43266</v>
      </c>
      <c r="B189" s="3" t="s">
        <v>632</v>
      </c>
      <c r="C189" s="2" t="s">
        <v>633</v>
      </c>
      <c r="D189" s="9">
        <v>1.0005999999999999</v>
      </c>
      <c r="E189" s="56">
        <v>3.2559999999999998</v>
      </c>
      <c r="F189" s="56">
        <f t="shared" si="9"/>
        <v>0.4558920647611433</v>
      </c>
      <c r="G189" s="3">
        <v>6.25</v>
      </c>
      <c r="H189" s="3">
        <v>0</v>
      </c>
      <c r="I189" s="56">
        <f t="shared" si="10"/>
        <v>2.8493254047571455</v>
      </c>
      <c r="J189" s="101" t="s">
        <v>10</v>
      </c>
      <c r="K189" s="101" t="s">
        <v>10</v>
      </c>
      <c r="L189" s="101" t="s">
        <v>10</v>
      </c>
      <c r="M189" s="3" t="s">
        <v>14</v>
      </c>
      <c r="N189" s="3" t="s">
        <v>15</v>
      </c>
      <c r="O189" s="202" t="s">
        <v>10</v>
      </c>
      <c r="P189" s="202"/>
      <c r="Q189" s="202"/>
    </row>
    <row r="190" spans="1:17" hidden="1" x14ac:dyDescent="0.3">
      <c r="A190" s="61">
        <v>43266</v>
      </c>
      <c r="B190" s="3" t="s">
        <v>634</v>
      </c>
      <c r="C190" s="2" t="s">
        <v>635</v>
      </c>
      <c r="D190" s="9">
        <v>1.0004</v>
      </c>
      <c r="E190" s="56">
        <v>3.0779999999999998</v>
      </c>
      <c r="F190" s="56">
        <f t="shared" si="9"/>
        <v>0.4310553778488605</v>
      </c>
      <c r="G190" s="3">
        <v>6.25</v>
      </c>
      <c r="H190" s="3">
        <v>0</v>
      </c>
      <c r="I190" s="56">
        <f t="shared" si="10"/>
        <v>2.6940961115553783</v>
      </c>
      <c r="J190" s="101" t="s">
        <v>10</v>
      </c>
      <c r="K190" s="101" t="s">
        <v>10</v>
      </c>
      <c r="L190" s="101" t="s">
        <v>10</v>
      </c>
      <c r="M190" s="3" t="s">
        <v>14</v>
      </c>
      <c r="N190" s="3" t="s">
        <v>15</v>
      </c>
      <c r="O190" s="202" t="s">
        <v>10</v>
      </c>
      <c r="P190" s="202"/>
      <c r="Q190" s="202"/>
    </row>
    <row r="191" spans="1:17" hidden="1" x14ac:dyDescent="0.3">
      <c r="A191" s="61">
        <v>43266</v>
      </c>
      <c r="B191" s="3" t="s">
        <v>636</v>
      </c>
      <c r="C191" s="2" t="s">
        <v>637</v>
      </c>
      <c r="D191" s="9">
        <v>1.0008999999999999</v>
      </c>
      <c r="E191" s="56">
        <v>2.0979999999999999</v>
      </c>
      <c r="F191" s="56">
        <f t="shared" si="9"/>
        <v>0.29366550104905587</v>
      </c>
      <c r="G191" s="3">
        <v>6.25</v>
      </c>
      <c r="H191" s="3">
        <v>0</v>
      </c>
      <c r="I191" s="56">
        <f t="shared" si="10"/>
        <v>1.8354093815565991</v>
      </c>
      <c r="J191" s="101" t="s">
        <v>10</v>
      </c>
      <c r="K191" s="101" t="s">
        <v>10</v>
      </c>
      <c r="L191" s="101" t="s">
        <v>10</v>
      </c>
      <c r="M191" s="3" t="s">
        <v>14</v>
      </c>
      <c r="N191" s="3" t="s">
        <v>15</v>
      </c>
      <c r="O191" s="202" t="s">
        <v>10</v>
      </c>
      <c r="P191" s="202"/>
      <c r="Q191" s="202"/>
    </row>
    <row r="192" spans="1:17" hidden="1" x14ac:dyDescent="0.3">
      <c r="A192" s="61">
        <v>43266</v>
      </c>
      <c r="B192" s="3" t="s">
        <v>638</v>
      </c>
      <c r="C192" s="2" t="s">
        <v>639</v>
      </c>
      <c r="D192" s="9">
        <v>1.0002</v>
      </c>
      <c r="E192" s="56">
        <v>4.8239999999999998</v>
      </c>
      <c r="F192" s="56">
        <f t="shared" si="9"/>
        <v>0.67570725854829039</v>
      </c>
      <c r="G192" s="3">
        <v>6.25</v>
      </c>
      <c r="H192" s="3">
        <v>0</v>
      </c>
      <c r="I192" s="56">
        <f t="shared" si="10"/>
        <v>4.2231703659268147</v>
      </c>
      <c r="J192" s="101" t="s">
        <v>10</v>
      </c>
      <c r="K192" s="101" t="s">
        <v>10</v>
      </c>
      <c r="L192" s="101" t="s">
        <v>10</v>
      </c>
      <c r="M192" s="3" t="s">
        <v>14</v>
      </c>
      <c r="N192" s="3" t="s">
        <v>15</v>
      </c>
      <c r="O192" s="202" t="s">
        <v>10</v>
      </c>
      <c r="P192" s="202"/>
      <c r="Q192" s="202"/>
    </row>
    <row r="193" spans="1:17" hidden="1" x14ac:dyDescent="0.3">
      <c r="A193" s="61">
        <v>43266</v>
      </c>
      <c r="B193" s="3" t="s">
        <v>640</v>
      </c>
      <c r="C193" s="2" t="s">
        <v>641</v>
      </c>
      <c r="D193" s="9">
        <v>1.0008999999999999</v>
      </c>
      <c r="E193" s="56">
        <v>5.726</v>
      </c>
      <c r="F193" s="56">
        <f t="shared" si="9"/>
        <v>0.80149125786791897</v>
      </c>
      <c r="G193" s="3">
        <v>6.25</v>
      </c>
      <c r="H193" s="3">
        <v>0</v>
      </c>
      <c r="I193" s="56">
        <f t="shared" si="10"/>
        <v>5.0093203616744937</v>
      </c>
      <c r="J193" s="101" t="s">
        <v>10</v>
      </c>
      <c r="K193" s="101" t="s">
        <v>10</v>
      </c>
      <c r="L193" s="101" t="s">
        <v>10</v>
      </c>
      <c r="M193" s="3" t="s">
        <v>14</v>
      </c>
      <c r="N193" s="3" t="s">
        <v>15</v>
      </c>
      <c r="O193" s="202" t="s">
        <v>10</v>
      </c>
      <c r="P193" s="202"/>
      <c r="Q193" s="202"/>
    </row>
    <row r="194" spans="1:17" hidden="1" x14ac:dyDescent="0.3">
      <c r="A194" s="61">
        <v>43266</v>
      </c>
      <c r="B194" s="3" t="s">
        <v>642</v>
      </c>
      <c r="C194" s="2" t="s">
        <v>643</v>
      </c>
      <c r="D194" s="9">
        <v>1.0006999999999999</v>
      </c>
      <c r="E194" s="56">
        <v>2.1520000000000001</v>
      </c>
      <c r="F194" s="56">
        <f t="shared" si="9"/>
        <v>0.30128430098930753</v>
      </c>
      <c r="G194" s="3">
        <v>6.25</v>
      </c>
      <c r="H194" s="3">
        <v>0</v>
      </c>
      <c r="I194" s="56">
        <f t="shared" si="10"/>
        <v>1.8830268811831721</v>
      </c>
      <c r="J194" s="101" t="s">
        <v>10</v>
      </c>
      <c r="K194" s="101" t="s">
        <v>10</v>
      </c>
      <c r="L194" s="101" t="s">
        <v>10</v>
      </c>
      <c r="M194" s="3" t="s">
        <v>14</v>
      </c>
      <c r="N194" s="3" t="s">
        <v>15</v>
      </c>
      <c r="O194" s="202" t="s">
        <v>10</v>
      </c>
      <c r="P194" s="202"/>
      <c r="Q194" s="202"/>
    </row>
    <row r="195" spans="1:17" hidden="1" x14ac:dyDescent="0.3">
      <c r="A195" s="61">
        <v>43264</v>
      </c>
      <c r="B195" s="3" t="s">
        <v>644</v>
      </c>
      <c r="C195" s="2" t="s">
        <v>645</v>
      </c>
      <c r="D195" s="9">
        <v>1.0008999999999999</v>
      </c>
      <c r="E195" s="56">
        <v>10.196999999999999</v>
      </c>
      <c r="F195" s="56">
        <f t="shared" si="9"/>
        <v>1.4273151163952444</v>
      </c>
      <c r="G195" s="3">
        <v>6.25</v>
      </c>
      <c r="H195" s="3">
        <v>0</v>
      </c>
      <c r="I195" s="56">
        <f t="shared" si="10"/>
        <v>8.9207194774702785</v>
      </c>
      <c r="J195" s="101" t="s">
        <v>10</v>
      </c>
      <c r="K195" s="101" t="s">
        <v>10</v>
      </c>
      <c r="L195" s="101" t="s">
        <v>10</v>
      </c>
      <c r="M195" s="3" t="s">
        <v>14</v>
      </c>
      <c r="N195" s="3" t="s">
        <v>15</v>
      </c>
      <c r="O195" s="202" t="s">
        <v>10</v>
      </c>
      <c r="P195" s="202"/>
      <c r="Q195" s="202"/>
    </row>
    <row r="196" spans="1:17" hidden="1" x14ac:dyDescent="0.3">
      <c r="A196" s="61">
        <v>43264</v>
      </c>
      <c r="B196" s="3" t="s">
        <v>647</v>
      </c>
      <c r="C196" s="2" t="s">
        <v>646</v>
      </c>
      <c r="D196" s="9">
        <v>1.0007999999999999</v>
      </c>
      <c r="E196" s="56">
        <v>21.276</v>
      </c>
      <c r="F196" s="56">
        <f t="shared" si="9"/>
        <v>2.9783848920863312</v>
      </c>
      <c r="G196" s="3">
        <v>6.38</v>
      </c>
      <c r="H196" s="3">
        <v>0</v>
      </c>
      <c r="I196" s="56">
        <f t="shared" si="10"/>
        <v>19.002095611510793</v>
      </c>
      <c r="J196" s="101" t="s">
        <v>10</v>
      </c>
      <c r="K196" s="101" t="s">
        <v>10</v>
      </c>
      <c r="L196" s="101" t="s">
        <v>10</v>
      </c>
      <c r="M196" s="3" t="s">
        <v>14</v>
      </c>
      <c r="N196" s="3" t="s">
        <v>15</v>
      </c>
      <c r="O196" s="202" t="s">
        <v>10</v>
      </c>
      <c r="P196" s="202"/>
      <c r="Q196" s="202"/>
    </row>
    <row r="197" spans="1:17" hidden="1" x14ac:dyDescent="0.3">
      <c r="A197" s="61">
        <v>43264</v>
      </c>
      <c r="B197" s="3" t="s">
        <v>649</v>
      </c>
      <c r="C197" s="2" t="s">
        <v>648</v>
      </c>
      <c r="D197" s="9">
        <v>1.0008999999999999</v>
      </c>
      <c r="E197" s="56">
        <v>27.54</v>
      </c>
      <c r="F197" s="56">
        <f t="shared" si="9"/>
        <v>3.8548846038565294</v>
      </c>
      <c r="G197" s="3">
        <v>6.25</v>
      </c>
      <c r="H197" s="3">
        <v>0</v>
      </c>
      <c r="I197" s="56">
        <f t="shared" si="10"/>
        <v>24.09302877410331</v>
      </c>
      <c r="J197" s="101" t="s">
        <v>10</v>
      </c>
      <c r="K197" s="101" t="s">
        <v>10</v>
      </c>
      <c r="L197" s="101" t="s">
        <v>10</v>
      </c>
      <c r="M197" s="3" t="s">
        <v>14</v>
      </c>
      <c r="N197" s="3" t="s">
        <v>15</v>
      </c>
      <c r="O197" s="202" t="s">
        <v>10</v>
      </c>
      <c r="P197" s="202"/>
      <c r="Q197" s="202"/>
    </row>
    <row r="198" spans="1:17" hidden="1" x14ac:dyDescent="0.3">
      <c r="A198" s="61">
        <v>43266</v>
      </c>
      <c r="B198" s="3" t="s">
        <v>650</v>
      </c>
      <c r="C198" s="2" t="s">
        <v>651</v>
      </c>
      <c r="D198" s="9">
        <v>1.0007999999999999</v>
      </c>
      <c r="E198" s="56">
        <v>39.51</v>
      </c>
      <c r="F198" s="56">
        <f t="shared" si="9"/>
        <v>5.5309262589928059</v>
      </c>
      <c r="G198" s="3">
        <v>6.25</v>
      </c>
      <c r="H198" s="3">
        <v>0</v>
      </c>
      <c r="I198" s="56">
        <f t="shared" si="10"/>
        <v>34.568289118705039</v>
      </c>
      <c r="J198" s="101" t="s">
        <v>10</v>
      </c>
      <c r="K198" s="101" t="s">
        <v>10</v>
      </c>
      <c r="L198" s="101" t="s">
        <v>10</v>
      </c>
      <c r="M198" s="3" t="s">
        <v>14</v>
      </c>
      <c r="N198" s="3" t="s">
        <v>15</v>
      </c>
      <c r="O198" s="279" t="s">
        <v>10</v>
      </c>
      <c r="P198" s="280"/>
      <c r="Q198" s="281"/>
    </row>
    <row r="199" spans="1:17" hidden="1" x14ac:dyDescent="0.3">
      <c r="A199" s="61">
        <v>43266</v>
      </c>
      <c r="B199" s="3" t="s">
        <v>650</v>
      </c>
      <c r="C199" s="2" t="s">
        <v>652</v>
      </c>
      <c r="D199" s="9">
        <v>1.0004999999999999</v>
      </c>
      <c r="E199" s="56">
        <v>1.1100000000000001</v>
      </c>
      <c r="F199" s="56">
        <f t="shared" si="9"/>
        <v>0.15543328335832088</v>
      </c>
      <c r="G199" s="3">
        <v>6.25</v>
      </c>
      <c r="H199" s="3">
        <v>0</v>
      </c>
      <c r="I199" s="56">
        <f t="shared" si="10"/>
        <v>0.97145802098950551</v>
      </c>
      <c r="J199" s="101" t="s">
        <v>10</v>
      </c>
      <c r="K199" s="101" t="s">
        <v>10</v>
      </c>
      <c r="L199" s="101" t="s">
        <v>10</v>
      </c>
      <c r="M199" s="3" t="s">
        <v>14</v>
      </c>
      <c r="N199" s="3" t="s">
        <v>15</v>
      </c>
      <c r="O199" s="202" t="s">
        <v>529</v>
      </c>
      <c r="P199" s="202"/>
      <c r="Q199" s="202"/>
    </row>
    <row r="200" spans="1:17" hidden="1" x14ac:dyDescent="0.3">
      <c r="A200" s="61">
        <v>43266</v>
      </c>
      <c r="B200" s="3" t="s">
        <v>650</v>
      </c>
      <c r="C200" s="2" t="s">
        <v>652</v>
      </c>
      <c r="D200" s="9">
        <v>1.0004999999999999</v>
      </c>
      <c r="E200" s="56">
        <v>1.119</v>
      </c>
      <c r="F200" s="56">
        <f t="shared" si="9"/>
        <v>0.15669355322338832</v>
      </c>
      <c r="G200" s="3">
        <v>6.25</v>
      </c>
      <c r="H200" s="3">
        <v>0</v>
      </c>
      <c r="I200" s="56">
        <f t="shared" si="10"/>
        <v>0.97933470764617703</v>
      </c>
      <c r="J200" s="101" t="s">
        <v>10</v>
      </c>
      <c r="K200" s="101" t="s">
        <v>10</v>
      </c>
      <c r="L200" s="101" t="s">
        <v>10</v>
      </c>
      <c r="M200" s="3" t="s">
        <v>14</v>
      </c>
      <c r="N200" s="3" t="s">
        <v>15</v>
      </c>
      <c r="O200" s="202" t="s">
        <v>529</v>
      </c>
      <c r="P200" s="202"/>
      <c r="Q200" s="202"/>
    </row>
    <row r="201" spans="1:17" hidden="1" x14ac:dyDescent="0.3">
      <c r="A201" s="67">
        <v>43266</v>
      </c>
      <c r="B201" s="14" t="s">
        <v>658</v>
      </c>
      <c r="C201" t="s">
        <v>659</v>
      </c>
      <c r="D201" s="50">
        <v>1.0008999999999999</v>
      </c>
      <c r="E201" s="62">
        <v>8.4019999999999992</v>
      </c>
      <c r="F201" s="34">
        <f t="shared" si="9"/>
        <v>1.176061744430013</v>
      </c>
      <c r="G201" s="57">
        <v>6.25</v>
      </c>
      <c r="H201" s="3">
        <v>0</v>
      </c>
      <c r="I201" s="73">
        <f t="shared" si="10"/>
        <v>7.3503859026875809</v>
      </c>
      <c r="J201" s="101" t="s">
        <v>10</v>
      </c>
      <c r="K201" s="101" t="s">
        <v>10</v>
      </c>
      <c r="L201" s="101" t="s">
        <v>10</v>
      </c>
      <c r="M201" s="3" t="s">
        <v>14</v>
      </c>
      <c r="N201" s="3" t="s">
        <v>15</v>
      </c>
      <c r="O201" s="279" t="s">
        <v>10</v>
      </c>
      <c r="P201" s="280"/>
      <c r="Q201" s="281"/>
    </row>
    <row r="202" spans="1:17" hidden="1" x14ac:dyDescent="0.3">
      <c r="A202" s="31">
        <v>43270</v>
      </c>
      <c r="B202" s="15" t="s">
        <v>649</v>
      </c>
      <c r="C202" s="2" t="s">
        <v>661</v>
      </c>
      <c r="D202" s="2">
        <f>+'FIBRA DIETARIA KIT'!H73</f>
        <v>0.53069999999999595</v>
      </c>
      <c r="E202" s="56">
        <v>30.949000000000002</v>
      </c>
      <c r="F202" s="56">
        <f t="shared" si="9"/>
        <v>8.1702560768796566</v>
      </c>
      <c r="G202" s="3">
        <v>6.25</v>
      </c>
      <c r="H202" s="3">
        <v>0</v>
      </c>
      <c r="I202" s="56">
        <f t="shared" si="10"/>
        <v>51.064100480497856</v>
      </c>
      <c r="J202" s="101" t="s">
        <v>10</v>
      </c>
      <c r="K202" s="101" t="s">
        <v>10</v>
      </c>
      <c r="L202" s="101" t="s">
        <v>10</v>
      </c>
      <c r="M202" s="3" t="s">
        <v>14</v>
      </c>
      <c r="N202" s="3" t="s">
        <v>15</v>
      </c>
      <c r="O202" s="279" t="s">
        <v>10</v>
      </c>
      <c r="P202" s="280"/>
      <c r="Q202" s="281"/>
    </row>
    <row r="203" spans="1:17" hidden="1" x14ac:dyDescent="0.3">
      <c r="A203" s="31">
        <v>43273</v>
      </c>
      <c r="B203" s="3" t="s">
        <v>667</v>
      </c>
      <c r="C203" s="2" t="s">
        <v>668</v>
      </c>
      <c r="D203" s="9">
        <v>1.0004</v>
      </c>
      <c r="E203" s="56">
        <v>57.676000000000002</v>
      </c>
      <c r="F203" s="56">
        <f t="shared" si="9"/>
        <v>8.0771767293082775</v>
      </c>
      <c r="G203" s="3">
        <v>6.25</v>
      </c>
      <c r="H203" s="3">
        <v>0</v>
      </c>
      <c r="I203" s="56">
        <f t="shared" si="10"/>
        <v>50.482354558176738</v>
      </c>
      <c r="J203" s="101" t="s">
        <v>10</v>
      </c>
      <c r="K203" s="101" t="s">
        <v>10</v>
      </c>
      <c r="L203" s="101" t="s">
        <v>10</v>
      </c>
      <c r="M203" s="3" t="s">
        <v>14</v>
      </c>
      <c r="N203" s="3" t="s">
        <v>15</v>
      </c>
      <c r="O203" s="279" t="s">
        <v>10</v>
      </c>
      <c r="P203" s="280"/>
      <c r="Q203" s="281"/>
    </row>
    <row r="204" spans="1:17" hidden="1" x14ac:dyDescent="0.3">
      <c r="A204" s="31">
        <v>43273</v>
      </c>
      <c r="B204" s="3" t="s">
        <v>670</v>
      </c>
      <c r="C204" s="2" t="s">
        <v>669</v>
      </c>
      <c r="D204" s="9">
        <v>1.0004999999999999</v>
      </c>
      <c r="E204" s="56">
        <v>49.981999999999999</v>
      </c>
      <c r="F204" s="56">
        <f t="shared" si="9"/>
        <v>6.9989787106446784</v>
      </c>
      <c r="G204" s="3">
        <v>6.25</v>
      </c>
      <c r="H204" s="3">
        <v>0</v>
      </c>
      <c r="I204" s="56">
        <f t="shared" si="10"/>
        <v>43.74361694152924</v>
      </c>
      <c r="J204" s="101" t="s">
        <v>10</v>
      </c>
      <c r="K204" s="101" t="s">
        <v>10</v>
      </c>
      <c r="L204" s="101" t="s">
        <v>10</v>
      </c>
      <c r="M204" s="3" t="s">
        <v>14</v>
      </c>
      <c r="N204" s="3" t="s">
        <v>15</v>
      </c>
      <c r="O204" s="279" t="s">
        <v>10</v>
      </c>
      <c r="P204" s="280"/>
      <c r="Q204" s="281"/>
    </row>
    <row r="205" spans="1:17" hidden="1" x14ac:dyDescent="0.3">
      <c r="A205" s="74">
        <v>43273</v>
      </c>
      <c r="B205" s="57" t="s">
        <v>672</v>
      </c>
      <c r="C205" s="36" t="s">
        <v>671</v>
      </c>
      <c r="D205" s="75">
        <v>1.0008999999999999</v>
      </c>
      <c r="E205" s="73">
        <v>40.923999999999999</v>
      </c>
      <c r="F205" s="73">
        <f t="shared" si="9"/>
        <v>5.7282969327605171</v>
      </c>
      <c r="G205" s="57">
        <v>6.25</v>
      </c>
      <c r="H205" s="3">
        <v>0</v>
      </c>
      <c r="I205" s="73">
        <f t="shared" si="10"/>
        <v>35.801855829753229</v>
      </c>
      <c r="J205" s="101" t="s">
        <v>10</v>
      </c>
      <c r="K205" s="101" t="s">
        <v>10</v>
      </c>
      <c r="L205" s="101" t="s">
        <v>10</v>
      </c>
      <c r="M205" s="3" t="s">
        <v>14</v>
      </c>
      <c r="N205" s="3" t="s">
        <v>15</v>
      </c>
      <c r="O205" s="279" t="s">
        <v>10</v>
      </c>
      <c r="P205" s="280"/>
      <c r="Q205" s="281"/>
    </row>
    <row r="206" spans="1:17" hidden="1" x14ac:dyDescent="0.3">
      <c r="A206" s="31">
        <v>43270</v>
      </c>
      <c r="B206" s="3" t="s">
        <v>673</v>
      </c>
      <c r="C206" s="2" t="s">
        <v>674</v>
      </c>
      <c r="D206" s="9">
        <v>1.0008999999999999</v>
      </c>
      <c r="E206" s="56">
        <v>7.04</v>
      </c>
      <c r="F206" s="56">
        <f t="shared" si="9"/>
        <v>0.98541712458787123</v>
      </c>
      <c r="G206" s="3">
        <v>6.25</v>
      </c>
      <c r="H206" s="3">
        <v>0</v>
      </c>
      <c r="I206" s="56">
        <f t="shared" si="10"/>
        <v>6.1588570286741948</v>
      </c>
      <c r="J206" s="101" t="s">
        <v>10</v>
      </c>
      <c r="K206" s="101" t="s">
        <v>10</v>
      </c>
      <c r="L206" s="101" t="s">
        <v>10</v>
      </c>
      <c r="M206" s="3" t="s">
        <v>14</v>
      </c>
      <c r="N206" s="3" t="s">
        <v>15</v>
      </c>
      <c r="O206" s="279" t="s">
        <v>10</v>
      </c>
      <c r="P206" s="280"/>
      <c r="Q206" s="281"/>
    </row>
    <row r="207" spans="1:17" hidden="1" x14ac:dyDescent="0.3">
      <c r="A207" s="31">
        <v>43270</v>
      </c>
      <c r="B207" s="3" t="s">
        <v>675</v>
      </c>
      <c r="C207" s="2" t="s">
        <v>676</v>
      </c>
      <c r="D207" s="9">
        <v>1.0004</v>
      </c>
      <c r="E207" s="56">
        <v>2.1859999999999999</v>
      </c>
      <c r="F207" s="56">
        <f t="shared" si="9"/>
        <v>0.30613614554178331</v>
      </c>
      <c r="G207" s="3">
        <v>6.25</v>
      </c>
      <c r="H207" s="3">
        <v>0</v>
      </c>
      <c r="I207" s="56">
        <f t="shared" si="10"/>
        <v>1.9133509096361456</v>
      </c>
      <c r="J207" s="101" t="s">
        <v>10</v>
      </c>
      <c r="K207" s="101" t="s">
        <v>10</v>
      </c>
      <c r="L207" s="101" t="s">
        <v>10</v>
      </c>
      <c r="M207" s="3" t="s">
        <v>14</v>
      </c>
      <c r="N207" s="3" t="s">
        <v>15</v>
      </c>
      <c r="O207" s="279" t="s">
        <v>10</v>
      </c>
      <c r="P207" s="280"/>
      <c r="Q207" s="281"/>
    </row>
    <row r="208" spans="1:17" hidden="1" x14ac:dyDescent="0.3">
      <c r="A208" s="31">
        <v>43273</v>
      </c>
      <c r="B208" s="3" t="s">
        <v>677</v>
      </c>
      <c r="C208" s="2" t="s">
        <v>678</v>
      </c>
      <c r="D208" s="9">
        <v>1.0008999999999999</v>
      </c>
      <c r="E208" s="56">
        <v>0.96199999999999997</v>
      </c>
      <c r="F208" s="56">
        <f t="shared" si="9"/>
        <v>0.13465501049055853</v>
      </c>
      <c r="G208" s="3">
        <v>6.25</v>
      </c>
      <c r="H208" s="3">
        <v>0</v>
      </c>
      <c r="I208" s="56">
        <f t="shared" si="10"/>
        <v>0.84159381556599078</v>
      </c>
      <c r="J208" s="101" t="s">
        <v>10</v>
      </c>
      <c r="K208" s="101" t="s">
        <v>10</v>
      </c>
      <c r="L208" s="101" t="s">
        <v>10</v>
      </c>
      <c r="M208" s="3" t="s">
        <v>14</v>
      </c>
      <c r="N208" s="3" t="s">
        <v>15</v>
      </c>
      <c r="O208" s="279" t="s">
        <v>10</v>
      </c>
      <c r="P208" s="280"/>
      <c r="Q208" s="281"/>
    </row>
    <row r="209" spans="1:17" hidden="1" x14ac:dyDescent="0.3">
      <c r="A209" s="31">
        <v>43273</v>
      </c>
      <c r="B209" s="3" t="s">
        <v>673</v>
      </c>
      <c r="C209" s="2" t="s">
        <v>674</v>
      </c>
      <c r="D209" s="2">
        <f>+'FIBRA DIETARIA KIT'!H75</f>
        <v>0.40879999999999939</v>
      </c>
      <c r="E209" s="56">
        <v>6.9480000000000004</v>
      </c>
      <c r="F209" s="56">
        <f t="shared" si="9"/>
        <v>2.3811516634050918</v>
      </c>
      <c r="G209" s="3">
        <v>6.25</v>
      </c>
      <c r="H209" s="3">
        <v>0</v>
      </c>
      <c r="I209" s="56">
        <f t="shared" ref="I209:I240" si="11">+F209*G209*((100-H209)/100)</f>
        <v>14.882197896281824</v>
      </c>
      <c r="J209" s="101" t="s">
        <v>10</v>
      </c>
      <c r="K209" s="101" t="s">
        <v>10</v>
      </c>
      <c r="L209" s="101" t="s">
        <v>10</v>
      </c>
      <c r="M209" s="3" t="s">
        <v>14</v>
      </c>
      <c r="N209" s="3" t="s">
        <v>15</v>
      </c>
      <c r="O209" s="279" t="s">
        <v>10</v>
      </c>
      <c r="P209" s="280"/>
      <c r="Q209" s="281"/>
    </row>
    <row r="210" spans="1:17" hidden="1" x14ac:dyDescent="0.3">
      <c r="A210" s="31">
        <v>43273</v>
      </c>
      <c r="B210" s="3" t="s">
        <v>675</v>
      </c>
      <c r="C210" s="2" t="s">
        <v>676</v>
      </c>
      <c r="D210" s="2">
        <f>+'FIBRA DIETARIA KIT'!H77</f>
        <v>0.15800000000000125</v>
      </c>
      <c r="E210" s="56">
        <v>0.13700000000000001</v>
      </c>
      <c r="F210" s="56">
        <f t="shared" si="9"/>
        <v>0.12147911392404968</v>
      </c>
      <c r="G210" s="3">
        <v>6.25</v>
      </c>
      <c r="H210" s="3">
        <v>0</v>
      </c>
      <c r="I210" s="56">
        <f t="shared" si="11"/>
        <v>0.75924446202531048</v>
      </c>
      <c r="J210" s="101" t="s">
        <v>10</v>
      </c>
      <c r="K210" s="101" t="s">
        <v>10</v>
      </c>
      <c r="L210" s="101" t="s">
        <v>10</v>
      </c>
      <c r="M210" s="3" t="s">
        <v>14</v>
      </c>
      <c r="N210" s="3" t="s">
        <v>15</v>
      </c>
      <c r="O210" s="279" t="s">
        <v>10</v>
      </c>
      <c r="P210" s="280"/>
      <c r="Q210" s="281"/>
    </row>
    <row r="211" spans="1:17" hidden="1" x14ac:dyDescent="0.3">
      <c r="A211" s="31">
        <v>43276</v>
      </c>
      <c r="B211" s="3" t="s">
        <v>677</v>
      </c>
      <c r="C211" s="2" t="s">
        <v>678</v>
      </c>
      <c r="D211" s="2">
        <f>+'FIBRA DIETARIA KIT'!H79</f>
        <v>2.9000000000003467E-2</v>
      </c>
      <c r="E211" s="56">
        <v>1.5940000000000001</v>
      </c>
      <c r="F211" s="56">
        <f t="shared" si="9"/>
        <v>7.7006689655163214</v>
      </c>
      <c r="G211" s="3">
        <v>6.25</v>
      </c>
      <c r="H211" s="3">
        <v>0</v>
      </c>
      <c r="I211" s="56">
        <f t="shared" si="11"/>
        <v>48.129181034477007</v>
      </c>
      <c r="J211" s="101" t="s">
        <v>10</v>
      </c>
      <c r="K211" s="101" t="s">
        <v>10</v>
      </c>
      <c r="L211" s="101" t="s">
        <v>10</v>
      </c>
      <c r="M211" s="3" t="s">
        <v>14</v>
      </c>
      <c r="N211" s="3" t="s">
        <v>15</v>
      </c>
      <c r="O211" s="279" t="s">
        <v>10</v>
      </c>
      <c r="P211" s="280"/>
      <c r="Q211" s="281"/>
    </row>
    <row r="212" spans="1:17" hidden="1" x14ac:dyDescent="0.3">
      <c r="A212" s="42">
        <v>43272</v>
      </c>
      <c r="B212" s="3" t="s">
        <v>680</v>
      </c>
      <c r="C212" s="2" t="s">
        <v>681</v>
      </c>
      <c r="D212" s="2">
        <v>1.0003</v>
      </c>
      <c r="E212" s="56">
        <v>8.36</v>
      </c>
      <c r="F212" s="56">
        <f t="shared" si="9"/>
        <v>1.1708847345796261</v>
      </c>
      <c r="G212" s="3">
        <v>6.25</v>
      </c>
      <c r="H212" s="3">
        <v>0</v>
      </c>
      <c r="I212" s="56">
        <f t="shared" si="11"/>
        <v>7.3180295911226629</v>
      </c>
      <c r="J212" s="101" t="s">
        <v>10</v>
      </c>
      <c r="K212" s="101" t="s">
        <v>10</v>
      </c>
      <c r="L212" s="101" t="s">
        <v>10</v>
      </c>
      <c r="M212" s="3" t="s">
        <v>14</v>
      </c>
      <c r="N212" s="3" t="s">
        <v>15</v>
      </c>
      <c r="O212" s="279" t="s">
        <v>10</v>
      </c>
      <c r="P212" s="280"/>
      <c r="Q212" s="281"/>
    </row>
    <row r="213" spans="1:17" hidden="1" x14ac:dyDescent="0.3">
      <c r="A213" s="42">
        <v>43273</v>
      </c>
      <c r="B213" s="3" t="s">
        <v>685</v>
      </c>
      <c r="C213" s="2" t="s">
        <v>684</v>
      </c>
      <c r="D213" s="2">
        <v>1.0004999999999999</v>
      </c>
      <c r="E213" s="56">
        <v>0.79600000000000004</v>
      </c>
      <c r="F213" s="56">
        <f t="shared" si="9"/>
        <v>0.11146386806596703</v>
      </c>
      <c r="G213" s="3">
        <v>6.25</v>
      </c>
      <c r="H213" s="3">
        <v>0</v>
      </c>
      <c r="I213" s="56">
        <f t="shared" si="11"/>
        <v>0.69664917541229399</v>
      </c>
      <c r="J213" s="101" t="s">
        <v>10</v>
      </c>
      <c r="K213" s="101" t="s">
        <v>10</v>
      </c>
      <c r="L213" s="101" t="s">
        <v>10</v>
      </c>
      <c r="M213" s="3" t="s">
        <v>14</v>
      </c>
      <c r="N213" s="3" t="s">
        <v>15</v>
      </c>
      <c r="O213" s="279" t="s">
        <v>10</v>
      </c>
      <c r="P213" s="280"/>
      <c r="Q213" s="281"/>
    </row>
    <row r="214" spans="1:17" hidden="1" x14ac:dyDescent="0.3">
      <c r="A214" s="42">
        <v>43273</v>
      </c>
      <c r="B214" s="3" t="s">
        <v>687</v>
      </c>
      <c r="C214" s="2" t="s">
        <v>686</v>
      </c>
      <c r="D214" s="2">
        <v>1.0008999999999999</v>
      </c>
      <c r="E214" s="56">
        <v>0.76</v>
      </c>
      <c r="F214" s="56">
        <f t="shared" si="9"/>
        <v>0.10638025776800883</v>
      </c>
      <c r="G214" s="3">
        <v>6.25</v>
      </c>
      <c r="H214" s="3">
        <v>0</v>
      </c>
      <c r="I214" s="56">
        <f t="shared" si="11"/>
        <v>0.66487661105005513</v>
      </c>
      <c r="J214" s="101" t="s">
        <v>10</v>
      </c>
      <c r="K214" s="101" t="s">
        <v>10</v>
      </c>
      <c r="L214" s="101" t="s">
        <v>10</v>
      </c>
      <c r="M214" s="3" t="s">
        <v>14</v>
      </c>
      <c r="N214" s="3" t="s">
        <v>15</v>
      </c>
      <c r="O214" s="279" t="s">
        <v>10</v>
      </c>
      <c r="P214" s="280"/>
      <c r="Q214" s="281"/>
    </row>
    <row r="215" spans="1:17" hidden="1" x14ac:dyDescent="0.3">
      <c r="A215" s="42">
        <v>43273</v>
      </c>
      <c r="B215" s="3" t="s">
        <v>689</v>
      </c>
      <c r="C215" s="2" t="s">
        <v>688</v>
      </c>
      <c r="D215" s="2">
        <v>1.0008999999999999</v>
      </c>
      <c r="E215" s="56">
        <v>0.66600000000000004</v>
      </c>
      <c r="F215" s="56">
        <f t="shared" si="9"/>
        <v>9.3222699570386675E-2</v>
      </c>
      <c r="G215" s="3">
        <v>6.25</v>
      </c>
      <c r="H215" s="3">
        <v>0</v>
      </c>
      <c r="I215" s="56">
        <f t="shared" si="11"/>
        <v>0.58264187231491671</v>
      </c>
      <c r="J215" s="101" t="s">
        <v>10</v>
      </c>
      <c r="K215" s="101" t="s">
        <v>10</v>
      </c>
      <c r="L215" s="101" t="s">
        <v>10</v>
      </c>
      <c r="M215" s="3" t="s">
        <v>14</v>
      </c>
      <c r="N215" s="3" t="s">
        <v>15</v>
      </c>
      <c r="O215" s="279" t="s">
        <v>10</v>
      </c>
      <c r="P215" s="280"/>
      <c r="Q215" s="281"/>
    </row>
    <row r="216" spans="1:17" hidden="1" x14ac:dyDescent="0.3">
      <c r="A216" s="42">
        <v>43276</v>
      </c>
      <c r="B216" s="3" t="s">
        <v>691</v>
      </c>
      <c r="C216" s="2" t="s">
        <v>690</v>
      </c>
      <c r="D216" s="2">
        <v>1.0008999999999999</v>
      </c>
      <c r="E216" s="56">
        <v>1.234</v>
      </c>
      <c r="F216" s="56">
        <f t="shared" si="9"/>
        <v>0.17272794484963538</v>
      </c>
      <c r="G216" s="3">
        <v>6.25</v>
      </c>
      <c r="H216" s="3">
        <v>0</v>
      </c>
      <c r="I216" s="56">
        <f t="shared" si="11"/>
        <v>1.0795496553102211</v>
      </c>
      <c r="J216" s="101" t="s">
        <v>10</v>
      </c>
      <c r="K216" s="101" t="s">
        <v>10</v>
      </c>
      <c r="L216" s="101" t="s">
        <v>10</v>
      </c>
      <c r="M216" s="3" t="s">
        <v>14</v>
      </c>
      <c r="N216" s="3" t="s">
        <v>15</v>
      </c>
      <c r="O216" s="279" t="s">
        <v>10</v>
      </c>
      <c r="P216" s="280"/>
      <c r="Q216" s="281"/>
    </row>
    <row r="217" spans="1:17" hidden="1" x14ac:dyDescent="0.3">
      <c r="A217" s="42">
        <v>43276</v>
      </c>
      <c r="B217" s="3" t="s">
        <v>692</v>
      </c>
      <c r="C217" s="2" t="s">
        <v>693</v>
      </c>
      <c r="D217" s="2">
        <v>1.0008999999999999</v>
      </c>
      <c r="E217" s="56">
        <v>0.70599999999999996</v>
      </c>
      <c r="F217" s="56">
        <f t="shared" si="9"/>
        <v>9.8821660505545014E-2</v>
      </c>
      <c r="G217" s="3">
        <v>6.25</v>
      </c>
      <c r="H217" s="3">
        <v>0</v>
      </c>
      <c r="I217" s="56">
        <f t="shared" si="11"/>
        <v>0.6176353781596563</v>
      </c>
      <c r="J217" s="101" t="s">
        <v>10</v>
      </c>
      <c r="K217" s="101" t="s">
        <v>10</v>
      </c>
      <c r="L217" s="101" t="s">
        <v>10</v>
      </c>
      <c r="M217" s="3" t="s">
        <v>14</v>
      </c>
      <c r="N217" s="3" t="s">
        <v>15</v>
      </c>
      <c r="O217" s="279" t="s">
        <v>10</v>
      </c>
      <c r="P217" s="280"/>
      <c r="Q217" s="281"/>
    </row>
    <row r="218" spans="1:17" hidden="1" x14ac:dyDescent="0.3">
      <c r="A218" s="42">
        <v>43276</v>
      </c>
      <c r="B218" s="3" t="s">
        <v>694</v>
      </c>
      <c r="C218" s="2" t="s">
        <v>695</v>
      </c>
      <c r="D218" s="2">
        <v>1.0001</v>
      </c>
      <c r="E218" s="56">
        <v>0.32200000000000001</v>
      </c>
      <c r="F218" s="56">
        <f t="shared" si="9"/>
        <v>4.5107689231076893E-2</v>
      </c>
      <c r="G218" s="3">
        <v>6.25</v>
      </c>
      <c r="H218" s="3">
        <v>0</v>
      </c>
      <c r="I218" s="56">
        <f t="shared" si="11"/>
        <v>0.28192305769423059</v>
      </c>
      <c r="J218" s="101" t="s">
        <v>10</v>
      </c>
      <c r="K218" s="101" t="s">
        <v>10</v>
      </c>
      <c r="L218" s="101" t="s">
        <v>10</v>
      </c>
      <c r="M218" s="3" t="s">
        <v>14</v>
      </c>
      <c r="N218" s="3" t="s">
        <v>15</v>
      </c>
      <c r="O218" s="279" t="s">
        <v>10</v>
      </c>
      <c r="P218" s="280"/>
      <c r="Q218" s="281"/>
    </row>
    <row r="219" spans="1:17" hidden="1" x14ac:dyDescent="0.3">
      <c r="A219" s="42">
        <v>43273</v>
      </c>
      <c r="B219" s="3" t="s">
        <v>697</v>
      </c>
      <c r="C219" s="2" t="s">
        <v>696</v>
      </c>
      <c r="D219" s="2">
        <v>1.0006999999999999</v>
      </c>
      <c r="E219" s="56">
        <v>2.4E-2</v>
      </c>
      <c r="F219" s="56">
        <f t="shared" si="9"/>
        <v>3.3600479664235038E-3</v>
      </c>
      <c r="G219" s="3">
        <v>6.25</v>
      </c>
      <c r="H219" s="3">
        <v>0</v>
      </c>
      <c r="I219" s="56">
        <f t="shared" si="11"/>
        <v>2.1000299790146899E-2</v>
      </c>
      <c r="J219" s="101" t="s">
        <v>10</v>
      </c>
      <c r="K219" s="101" t="s">
        <v>10</v>
      </c>
      <c r="L219" s="101" t="s">
        <v>10</v>
      </c>
      <c r="M219" s="3" t="s">
        <v>14</v>
      </c>
      <c r="N219" s="3" t="s">
        <v>15</v>
      </c>
      <c r="O219" s="279" t="s">
        <v>10</v>
      </c>
      <c r="P219" s="280"/>
      <c r="Q219" s="281"/>
    </row>
    <row r="220" spans="1:17" hidden="1" x14ac:dyDescent="0.3">
      <c r="A220" s="42">
        <v>43273</v>
      </c>
      <c r="B220" s="3" t="s">
        <v>698</v>
      </c>
      <c r="C220" s="2" t="s">
        <v>699</v>
      </c>
      <c r="D220" s="2">
        <v>1.0007999999999999</v>
      </c>
      <c r="E220" s="56">
        <v>6.2E-2</v>
      </c>
      <c r="F220" s="56">
        <f t="shared" si="9"/>
        <v>8.6792565947242228E-3</v>
      </c>
      <c r="G220" s="3">
        <v>6.25</v>
      </c>
      <c r="H220" s="3">
        <v>0</v>
      </c>
      <c r="I220" s="56">
        <f t="shared" si="11"/>
        <v>5.4245353717026393E-2</v>
      </c>
      <c r="J220" s="101" t="s">
        <v>10</v>
      </c>
      <c r="K220" s="101" t="s">
        <v>10</v>
      </c>
      <c r="L220" s="101" t="s">
        <v>10</v>
      </c>
      <c r="M220" s="3" t="s">
        <v>14</v>
      </c>
      <c r="N220" s="3" t="s">
        <v>15</v>
      </c>
      <c r="O220" s="279" t="s">
        <v>10</v>
      </c>
      <c r="P220" s="280"/>
      <c r="Q220" s="281"/>
    </row>
    <row r="221" spans="1:17" hidden="1" x14ac:dyDescent="0.3">
      <c r="A221" s="42">
        <v>43276</v>
      </c>
      <c r="B221" s="3" t="s">
        <v>701</v>
      </c>
      <c r="C221" s="2" t="s">
        <v>700</v>
      </c>
      <c r="D221" s="2">
        <v>1.0008999999999999</v>
      </c>
      <c r="E221" s="56">
        <v>6.6000000000000003E-2</v>
      </c>
      <c r="F221" s="56">
        <f t="shared" si="9"/>
        <v>9.238285543011291E-3</v>
      </c>
      <c r="G221" s="3">
        <v>6.25</v>
      </c>
      <c r="H221" s="3">
        <v>0</v>
      </c>
      <c r="I221" s="56">
        <f t="shared" si="11"/>
        <v>5.7739284643820568E-2</v>
      </c>
      <c r="J221" s="101" t="s">
        <v>10</v>
      </c>
      <c r="K221" s="101" t="s">
        <v>10</v>
      </c>
      <c r="L221" s="101" t="s">
        <v>10</v>
      </c>
      <c r="M221" s="3" t="s">
        <v>14</v>
      </c>
      <c r="N221" s="3" t="s">
        <v>15</v>
      </c>
      <c r="O221" s="279" t="s">
        <v>10</v>
      </c>
      <c r="P221" s="280"/>
      <c r="Q221" s="281"/>
    </row>
    <row r="222" spans="1:17" hidden="1" x14ac:dyDescent="0.3">
      <c r="A222" s="42">
        <v>43280</v>
      </c>
      <c r="B222" s="3" t="s">
        <v>722</v>
      </c>
      <c r="C222" s="2" t="s">
        <v>721</v>
      </c>
      <c r="D222" s="2">
        <v>1.0006999999999999</v>
      </c>
      <c r="E222" s="56">
        <v>21.79</v>
      </c>
      <c r="F222" s="56">
        <f t="shared" si="9"/>
        <v>3.050643549515339</v>
      </c>
      <c r="G222" s="3">
        <v>6.25</v>
      </c>
      <c r="H222" s="3">
        <v>0</v>
      </c>
      <c r="I222" s="56">
        <f t="shared" si="11"/>
        <v>19.06652218447087</v>
      </c>
      <c r="J222" s="101" t="s">
        <v>10</v>
      </c>
      <c r="K222" s="101" t="s">
        <v>10</v>
      </c>
      <c r="L222" s="101" t="s">
        <v>10</v>
      </c>
      <c r="M222" s="3" t="s">
        <v>702</v>
      </c>
      <c r="N222" s="3" t="s">
        <v>15</v>
      </c>
      <c r="O222" s="279" t="s">
        <v>10</v>
      </c>
      <c r="P222" s="280"/>
      <c r="Q222" s="281"/>
    </row>
    <row r="223" spans="1:17" hidden="1" x14ac:dyDescent="0.3">
      <c r="A223" s="42">
        <v>43280</v>
      </c>
      <c r="B223" s="15" t="s">
        <v>723</v>
      </c>
      <c r="C223" s="2" t="s">
        <v>729</v>
      </c>
      <c r="D223" s="2">
        <f>+'FIBRA DIETARIA KIT'!H81</f>
        <v>2.7799999999999159E-2</v>
      </c>
      <c r="E223" s="56">
        <v>0.73199999999999998</v>
      </c>
      <c r="F223" s="56">
        <f t="shared" si="9"/>
        <v>3.6889640287770904</v>
      </c>
      <c r="G223" s="3">
        <v>6.25</v>
      </c>
      <c r="H223" s="3">
        <v>0</v>
      </c>
      <c r="I223" s="56">
        <f t="shared" si="11"/>
        <v>23.056025179856814</v>
      </c>
      <c r="J223" s="101" t="s">
        <v>10</v>
      </c>
      <c r="K223" s="101" t="s">
        <v>10</v>
      </c>
      <c r="L223" s="101" t="s">
        <v>10</v>
      </c>
      <c r="M223" s="3" t="s">
        <v>14</v>
      </c>
      <c r="N223" s="3" t="s">
        <v>15</v>
      </c>
      <c r="O223" s="279" t="s">
        <v>10</v>
      </c>
      <c r="P223" s="280"/>
      <c r="Q223" s="281"/>
    </row>
    <row r="224" spans="1:17" hidden="1" x14ac:dyDescent="0.3">
      <c r="A224" s="42">
        <v>43280</v>
      </c>
      <c r="B224" s="15" t="s">
        <v>723</v>
      </c>
      <c r="C224" s="2" t="s">
        <v>730</v>
      </c>
      <c r="D224" s="2">
        <f>+'FIBRA DIETARIA KIT'!H83</f>
        <v>1.0500000000000398E-2</v>
      </c>
      <c r="E224" s="56">
        <v>2.4E-2</v>
      </c>
      <c r="F224" s="56">
        <f t="shared" si="9"/>
        <v>0.32022857142855932</v>
      </c>
      <c r="G224" s="3">
        <v>6.25</v>
      </c>
      <c r="H224" s="3">
        <v>0</v>
      </c>
      <c r="I224" s="56">
        <f t="shared" si="11"/>
        <v>2.0014285714284958</v>
      </c>
      <c r="J224" s="101" t="s">
        <v>10</v>
      </c>
      <c r="K224" s="101" t="s">
        <v>10</v>
      </c>
      <c r="L224" s="101" t="s">
        <v>10</v>
      </c>
      <c r="M224" s="3" t="s">
        <v>14</v>
      </c>
      <c r="N224" s="3" t="s">
        <v>15</v>
      </c>
      <c r="O224" s="279" t="s">
        <v>10</v>
      </c>
      <c r="P224" s="280"/>
      <c r="Q224" s="281"/>
    </row>
    <row r="225" spans="1:17" hidden="1" x14ac:dyDescent="0.3">
      <c r="A225" s="42">
        <v>43280</v>
      </c>
      <c r="B225" s="15" t="s">
        <v>725</v>
      </c>
      <c r="C225" s="19" t="s">
        <v>728</v>
      </c>
      <c r="D225" s="2">
        <f>+'FIBRA DIETARIA KIT'!H85</f>
        <v>0.10679999999999978</v>
      </c>
      <c r="E225" s="56">
        <v>4.5940000000000003</v>
      </c>
      <c r="F225" s="56">
        <f>+E225*0.1*14.01/(D225*10)</f>
        <v>6.0263988764045067</v>
      </c>
      <c r="G225" s="3">
        <v>6.25</v>
      </c>
      <c r="H225" s="3">
        <v>0</v>
      </c>
      <c r="I225" s="56">
        <f t="shared" si="11"/>
        <v>37.664992977528165</v>
      </c>
      <c r="J225" s="101" t="s">
        <v>10</v>
      </c>
      <c r="K225" s="101" t="s">
        <v>10</v>
      </c>
      <c r="L225" s="101" t="s">
        <v>10</v>
      </c>
      <c r="M225" s="3" t="s">
        <v>14</v>
      </c>
      <c r="N225" s="3" t="s">
        <v>15</v>
      </c>
      <c r="O225" s="279" t="s">
        <v>10</v>
      </c>
      <c r="P225" s="280"/>
      <c r="Q225" s="281"/>
    </row>
    <row r="226" spans="1:17" hidden="1" x14ac:dyDescent="0.3">
      <c r="A226" s="42">
        <v>43280</v>
      </c>
      <c r="B226" s="15" t="s">
        <v>726</v>
      </c>
      <c r="C226" s="19" t="s">
        <v>727</v>
      </c>
      <c r="D226" s="2">
        <v>1</v>
      </c>
      <c r="E226" s="56">
        <v>16.596</v>
      </c>
      <c r="F226" s="56">
        <f t="shared" ref="F226:F234" si="12">+E226*0.1*14.01/(D226*10)</f>
        <v>2.3250996000000002</v>
      </c>
      <c r="G226" s="3">
        <v>7.25</v>
      </c>
      <c r="H226" s="3">
        <v>0</v>
      </c>
      <c r="I226" s="56">
        <f t="shared" si="11"/>
        <v>16.8569721</v>
      </c>
      <c r="J226" s="101" t="s">
        <v>10</v>
      </c>
      <c r="K226" s="101" t="s">
        <v>10</v>
      </c>
      <c r="L226" s="101" t="s">
        <v>10</v>
      </c>
      <c r="M226" s="3" t="s">
        <v>702</v>
      </c>
      <c r="N226" s="3" t="s">
        <v>15</v>
      </c>
      <c r="O226" s="279" t="s">
        <v>10</v>
      </c>
      <c r="P226" s="280"/>
      <c r="Q226" s="281"/>
    </row>
    <row r="227" spans="1:17" hidden="1" x14ac:dyDescent="0.3">
      <c r="A227" s="42">
        <v>43280</v>
      </c>
      <c r="B227" s="3" t="s">
        <v>732</v>
      </c>
      <c r="C227" s="2" t="s">
        <v>733</v>
      </c>
      <c r="D227" s="2">
        <v>1.0004</v>
      </c>
      <c r="E227" s="56">
        <v>8.2200000000000006</v>
      </c>
      <c r="F227" s="56">
        <f t="shared" si="12"/>
        <v>1.1511615353858458</v>
      </c>
      <c r="G227" s="3">
        <v>6.25</v>
      </c>
      <c r="H227" s="3">
        <v>0</v>
      </c>
      <c r="I227" s="56">
        <f t="shared" si="11"/>
        <v>7.1947595961615356</v>
      </c>
      <c r="J227" s="101" t="s">
        <v>10</v>
      </c>
      <c r="K227" s="101" t="s">
        <v>10</v>
      </c>
      <c r="L227" s="101" t="s">
        <v>10</v>
      </c>
      <c r="M227" s="3" t="s">
        <v>702</v>
      </c>
      <c r="N227" s="3" t="s">
        <v>15</v>
      </c>
      <c r="O227" s="279" t="s">
        <v>10</v>
      </c>
      <c r="P227" s="280"/>
      <c r="Q227" s="281"/>
    </row>
    <row r="228" spans="1:17" hidden="1" x14ac:dyDescent="0.3">
      <c r="A228" s="42">
        <v>43276</v>
      </c>
      <c r="B228" s="3" t="s">
        <v>749</v>
      </c>
      <c r="C228" s="2" t="s">
        <v>748</v>
      </c>
      <c r="D228" s="2">
        <v>1.0001</v>
      </c>
      <c r="E228" s="56">
        <v>21.85</v>
      </c>
      <c r="F228" s="56">
        <f t="shared" si="12"/>
        <v>3.0608789121087892</v>
      </c>
      <c r="G228" s="3">
        <v>6.25</v>
      </c>
      <c r="H228" s="3">
        <v>0</v>
      </c>
      <c r="I228" s="56">
        <f t="shared" si="11"/>
        <v>19.130493200679933</v>
      </c>
      <c r="J228" s="101" t="s">
        <v>10</v>
      </c>
      <c r="K228" s="101" t="s">
        <v>10</v>
      </c>
      <c r="L228" s="101" t="s">
        <v>10</v>
      </c>
      <c r="M228" s="3" t="s">
        <v>14</v>
      </c>
      <c r="N228" s="3" t="s">
        <v>15</v>
      </c>
      <c r="O228" s="279" t="s">
        <v>10</v>
      </c>
      <c r="P228" s="280"/>
      <c r="Q228" s="281"/>
    </row>
    <row r="229" spans="1:17" hidden="1" x14ac:dyDescent="0.3">
      <c r="A229" s="42">
        <v>43276</v>
      </c>
      <c r="B229" s="3" t="s">
        <v>750</v>
      </c>
      <c r="C229" s="2" t="s">
        <v>754</v>
      </c>
      <c r="D229" s="2">
        <v>1.0008999999999999</v>
      </c>
      <c r="E229" s="56">
        <v>21.67</v>
      </c>
      <c r="F229" s="56">
        <f t="shared" si="12"/>
        <v>3.0332370866220413</v>
      </c>
      <c r="G229" s="3">
        <v>6.25</v>
      </c>
      <c r="H229" s="3">
        <v>0</v>
      </c>
      <c r="I229" s="56">
        <f t="shared" si="11"/>
        <v>18.957731791387758</v>
      </c>
      <c r="J229" s="101" t="s">
        <v>10</v>
      </c>
      <c r="K229" s="101" t="s">
        <v>10</v>
      </c>
      <c r="L229" s="101" t="s">
        <v>10</v>
      </c>
      <c r="M229" s="3" t="s">
        <v>14</v>
      </c>
      <c r="N229" s="3" t="s">
        <v>15</v>
      </c>
      <c r="O229" s="279" t="s">
        <v>10</v>
      </c>
      <c r="P229" s="280"/>
      <c r="Q229" s="281"/>
    </row>
    <row r="230" spans="1:17" hidden="1" x14ac:dyDescent="0.3">
      <c r="A230" s="42">
        <v>43276</v>
      </c>
      <c r="B230" s="3" t="s">
        <v>751</v>
      </c>
      <c r="C230" s="2" t="s">
        <v>754</v>
      </c>
      <c r="D230" s="2">
        <v>1.0004</v>
      </c>
      <c r="E230" s="56">
        <v>24.36</v>
      </c>
      <c r="F230" s="56">
        <f t="shared" si="12"/>
        <v>3.4114714114354259</v>
      </c>
      <c r="G230" s="3">
        <v>6.25</v>
      </c>
      <c r="H230" s="3">
        <v>0</v>
      </c>
      <c r="I230" s="56">
        <f t="shared" si="11"/>
        <v>21.321696321471411</v>
      </c>
      <c r="J230" s="101" t="s">
        <v>10</v>
      </c>
      <c r="K230" s="101" t="s">
        <v>10</v>
      </c>
      <c r="L230" s="101" t="s">
        <v>10</v>
      </c>
      <c r="M230" s="3" t="s">
        <v>14</v>
      </c>
      <c r="N230" s="3" t="s">
        <v>15</v>
      </c>
      <c r="O230" s="279" t="s">
        <v>10</v>
      </c>
      <c r="P230" s="280"/>
      <c r="Q230" s="281"/>
    </row>
    <row r="231" spans="1:17" hidden="1" x14ac:dyDescent="0.3">
      <c r="A231" s="42">
        <v>43276</v>
      </c>
      <c r="B231" s="3" t="s">
        <v>752</v>
      </c>
      <c r="C231" s="2" t="s">
        <v>755</v>
      </c>
      <c r="D231" s="2">
        <v>1.0003</v>
      </c>
      <c r="E231" s="56">
        <v>25.71</v>
      </c>
      <c r="F231" s="56">
        <f t="shared" si="12"/>
        <v>3.6008907327801665</v>
      </c>
      <c r="G231" s="3">
        <v>6.25</v>
      </c>
      <c r="H231" s="3">
        <v>0</v>
      </c>
      <c r="I231" s="56">
        <f t="shared" si="11"/>
        <v>22.505567079876041</v>
      </c>
      <c r="J231" s="101" t="s">
        <v>10</v>
      </c>
      <c r="K231" s="101" t="s">
        <v>10</v>
      </c>
      <c r="L231" s="101" t="s">
        <v>10</v>
      </c>
      <c r="M231" s="3" t="s">
        <v>14</v>
      </c>
      <c r="N231" s="3" t="s">
        <v>15</v>
      </c>
      <c r="O231" s="279" t="s">
        <v>10</v>
      </c>
      <c r="P231" s="280"/>
      <c r="Q231" s="281"/>
    </row>
    <row r="232" spans="1:17" hidden="1" x14ac:dyDescent="0.3">
      <c r="A232" s="42">
        <v>43276</v>
      </c>
      <c r="B232" s="3" t="s">
        <v>753</v>
      </c>
      <c r="C232" s="2" t="s">
        <v>756</v>
      </c>
      <c r="D232" s="2">
        <v>1.0006999999999999</v>
      </c>
      <c r="E232" s="56">
        <v>0.21</v>
      </c>
      <c r="F232" s="56">
        <f t="shared" si="12"/>
        <v>2.940041970620566E-2</v>
      </c>
      <c r="G232" s="3">
        <v>6.25</v>
      </c>
      <c r="H232" s="3">
        <v>0</v>
      </c>
      <c r="I232" s="56">
        <f t="shared" si="11"/>
        <v>0.18375262316378538</v>
      </c>
      <c r="J232" s="101" t="s">
        <v>10</v>
      </c>
      <c r="K232" s="101" t="s">
        <v>10</v>
      </c>
      <c r="L232" s="101" t="s">
        <v>10</v>
      </c>
      <c r="M232" s="3" t="s">
        <v>14</v>
      </c>
      <c r="N232" s="3" t="s">
        <v>15</v>
      </c>
      <c r="O232" s="279" t="s">
        <v>10</v>
      </c>
      <c r="P232" s="280"/>
      <c r="Q232" s="281"/>
    </row>
    <row r="233" spans="1:17" hidden="1" x14ac:dyDescent="0.3">
      <c r="A233" s="42">
        <v>43276</v>
      </c>
      <c r="B233" s="3" t="s">
        <v>734</v>
      </c>
      <c r="C233" s="2" t="s">
        <v>735</v>
      </c>
      <c r="D233" s="2">
        <v>1.0008999999999999</v>
      </c>
      <c r="E233" s="56">
        <v>6.2E-2</v>
      </c>
      <c r="F233" s="56">
        <f t="shared" si="12"/>
        <v>8.6783894494954564E-3</v>
      </c>
      <c r="G233" s="3">
        <v>6.25</v>
      </c>
      <c r="H233" s="3">
        <v>0</v>
      </c>
      <c r="I233" s="56">
        <f t="shared" si="11"/>
        <v>5.4239934059346601E-2</v>
      </c>
      <c r="J233" s="101" t="s">
        <v>10</v>
      </c>
      <c r="K233" s="101" t="s">
        <v>10</v>
      </c>
      <c r="L233" s="101" t="s">
        <v>10</v>
      </c>
      <c r="M233" s="3" t="s">
        <v>14</v>
      </c>
      <c r="N233" s="3" t="s">
        <v>15</v>
      </c>
      <c r="O233" s="279" t="s">
        <v>10</v>
      </c>
      <c r="P233" s="280"/>
      <c r="Q233" s="281"/>
    </row>
    <row r="234" spans="1:17" hidden="1" x14ac:dyDescent="0.3">
      <c r="A234" s="42">
        <v>43285</v>
      </c>
      <c r="B234" s="15" t="s">
        <v>725</v>
      </c>
      <c r="C234" s="19" t="s">
        <v>728</v>
      </c>
      <c r="D234" s="2">
        <f>+'FIBRA DIETARIA KIT'!H87</f>
        <v>0.10130000000000194</v>
      </c>
      <c r="E234" s="56">
        <v>4.5880000000000001</v>
      </c>
      <c r="F234" s="56">
        <f t="shared" si="12"/>
        <v>6.345299111549731</v>
      </c>
      <c r="G234" s="3">
        <v>6.25</v>
      </c>
      <c r="H234" s="3">
        <v>0</v>
      </c>
      <c r="I234" s="56">
        <f t="shared" si="11"/>
        <v>39.658119447185818</v>
      </c>
      <c r="J234" s="101" t="s">
        <v>10</v>
      </c>
      <c r="K234" s="101" t="s">
        <v>10</v>
      </c>
      <c r="L234" s="101" t="s">
        <v>10</v>
      </c>
      <c r="M234" s="3" t="s">
        <v>14</v>
      </c>
      <c r="N234" s="3" t="s">
        <v>15</v>
      </c>
      <c r="O234" s="279" t="s">
        <v>10</v>
      </c>
      <c r="P234" s="280"/>
      <c r="Q234" s="281"/>
    </row>
    <row r="235" spans="1:17" hidden="1" x14ac:dyDescent="0.3">
      <c r="A235" s="42">
        <v>43285</v>
      </c>
      <c r="B235" s="3" t="s">
        <v>763</v>
      </c>
      <c r="C235" s="2" t="s">
        <v>764</v>
      </c>
      <c r="D235" s="4">
        <v>1</v>
      </c>
      <c r="E235" s="56">
        <v>7.25</v>
      </c>
      <c r="F235" s="56">
        <f t="shared" ref="F235:F241" si="13">+E235*0.1*14.01/(D235*10)</f>
        <v>1.0157250000000002</v>
      </c>
      <c r="G235" s="3">
        <v>6.25</v>
      </c>
      <c r="H235" s="3">
        <v>0</v>
      </c>
      <c r="I235" s="56">
        <f t="shared" si="11"/>
        <v>6.3482812500000012</v>
      </c>
      <c r="J235" s="101" t="s">
        <v>10</v>
      </c>
      <c r="K235" s="101" t="s">
        <v>10</v>
      </c>
      <c r="L235" s="101" t="s">
        <v>10</v>
      </c>
      <c r="M235" s="3" t="s">
        <v>702</v>
      </c>
      <c r="N235" s="3" t="s">
        <v>15</v>
      </c>
      <c r="O235" s="279" t="s">
        <v>10</v>
      </c>
      <c r="P235" s="280"/>
      <c r="Q235" s="281"/>
    </row>
    <row r="236" spans="1:17" hidden="1" x14ac:dyDescent="0.3">
      <c r="A236" s="42">
        <v>43285</v>
      </c>
      <c r="B236" s="3" t="s">
        <v>736</v>
      </c>
      <c r="C236" s="2" t="s">
        <v>737</v>
      </c>
      <c r="D236" s="2">
        <v>1.0001</v>
      </c>
      <c r="E236" s="66">
        <v>9.7919999999999998</v>
      </c>
      <c r="F236" s="56">
        <f t="shared" si="13"/>
        <v>1.3717220277972204</v>
      </c>
      <c r="G236" s="3">
        <v>6.25</v>
      </c>
      <c r="H236" s="3">
        <v>0</v>
      </c>
      <c r="I236" s="56">
        <f t="shared" si="11"/>
        <v>8.5732626737326267</v>
      </c>
      <c r="J236" s="101" t="s">
        <v>10</v>
      </c>
      <c r="K236" s="101" t="s">
        <v>10</v>
      </c>
      <c r="L236" s="101" t="s">
        <v>10</v>
      </c>
      <c r="M236" s="3" t="s">
        <v>702</v>
      </c>
      <c r="N236" s="3" t="s">
        <v>15</v>
      </c>
      <c r="O236" s="279" t="s">
        <v>10</v>
      </c>
      <c r="P236" s="280"/>
      <c r="Q236" s="281"/>
    </row>
    <row r="237" spans="1:17" hidden="1" x14ac:dyDescent="0.3">
      <c r="A237" s="42">
        <v>43285</v>
      </c>
      <c r="B237" s="3" t="s">
        <v>738</v>
      </c>
      <c r="C237" s="2" t="s">
        <v>739</v>
      </c>
      <c r="D237" s="2">
        <v>1.0004999999999999</v>
      </c>
      <c r="E237" s="66">
        <v>20.696000000000002</v>
      </c>
      <c r="F237" s="56">
        <f t="shared" si="13"/>
        <v>2.8980605697151431</v>
      </c>
      <c r="G237" s="3">
        <v>6.25</v>
      </c>
      <c r="H237" s="3">
        <v>0</v>
      </c>
      <c r="I237" s="56">
        <f t="shared" si="11"/>
        <v>18.112878560719643</v>
      </c>
      <c r="J237" s="101" t="s">
        <v>10</v>
      </c>
      <c r="K237" s="101" t="s">
        <v>10</v>
      </c>
      <c r="L237" s="101" t="s">
        <v>10</v>
      </c>
      <c r="M237" s="3" t="s">
        <v>702</v>
      </c>
      <c r="N237" s="3" t="s">
        <v>15</v>
      </c>
      <c r="O237" s="279" t="s">
        <v>10</v>
      </c>
      <c r="P237" s="280"/>
      <c r="Q237" s="281"/>
    </row>
    <row r="238" spans="1:17" hidden="1" x14ac:dyDescent="0.3">
      <c r="A238" s="31">
        <v>43292</v>
      </c>
      <c r="B238" s="3" t="s">
        <v>775</v>
      </c>
      <c r="C238" s="2" t="s">
        <v>776</v>
      </c>
      <c r="D238" s="2">
        <v>1.0005999999999999</v>
      </c>
      <c r="E238" s="66">
        <v>19.350000000000001</v>
      </c>
      <c r="F238" s="56">
        <f>+E238*0.1*14.01/((D238-(D238*'GRASA AOAC 920.39'!I270/100))*10)</f>
        <v>3.8500510237736654</v>
      </c>
      <c r="G238" s="3">
        <v>6.38</v>
      </c>
      <c r="H238" s="3">
        <v>0</v>
      </c>
      <c r="I238" s="56">
        <f t="shared" si="11"/>
        <v>24.563325531675986</v>
      </c>
      <c r="J238" s="101" t="s">
        <v>10</v>
      </c>
      <c r="K238" s="101" t="s">
        <v>10</v>
      </c>
      <c r="L238" s="101" t="s">
        <v>10</v>
      </c>
      <c r="M238" s="3" t="s">
        <v>702</v>
      </c>
      <c r="N238" s="3" t="s">
        <v>15</v>
      </c>
      <c r="O238" s="279" t="s">
        <v>10</v>
      </c>
      <c r="P238" s="280"/>
      <c r="Q238" s="281"/>
    </row>
    <row r="239" spans="1:17" hidden="1" x14ac:dyDescent="0.3">
      <c r="A239" s="74">
        <v>43292</v>
      </c>
      <c r="B239" s="57" t="s">
        <v>777</v>
      </c>
      <c r="C239" s="36" t="s">
        <v>778</v>
      </c>
      <c r="D239" s="36">
        <v>1.0002</v>
      </c>
      <c r="E239" s="81">
        <v>20</v>
      </c>
      <c r="F239" s="73">
        <f>+E239*0.1*14.01/((D239-(D239*'GRASA AOAC 920.39'!I271/100))*10)</f>
        <v>3.9166936831937798</v>
      </c>
      <c r="G239" s="57">
        <v>6.38</v>
      </c>
      <c r="H239" s="3">
        <v>0</v>
      </c>
      <c r="I239" s="73">
        <f t="shared" si="11"/>
        <v>24.988505698776315</v>
      </c>
      <c r="J239" s="101" t="s">
        <v>10</v>
      </c>
      <c r="K239" s="101" t="s">
        <v>10</v>
      </c>
      <c r="L239" s="101" t="s">
        <v>10</v>
      </c>
      <c r="M239" s="3" t="s">
        <v>702</v>
      </c>
      <c r="N239" s="3" t="s">
        <v>15</v>
      </c>
      <c r="O239" s="279" t="s">
        <v>10</v>
      </c>
      <c r="P239" s="280"/>
      <c r="Q239" s="281"/>
    </row>
    <row r="240" spans="1:17" hidden="1" x14ac:dyDescent="0.3">
      <c r="A240" s="31">
        <v>43292</v>
      </c>
      <c r="B240" s="3" t="s">
        <v>788</v>
      </c>
      <c r="C240" s="2" t="s">
        <v>774</v>
      </c>
      <c r="D240" s="2">
        <v>1.0003</v>
      </c>
      <c r="E240" s="66">
        <v>17</v>
      </c>
      <c r="F240" s="56">
        <f>+E240*0.1*14.01/((D240-(D240*'GRASA AOAC 920.39'!I272/100))*10)</f>
        <v>3.2465627391766283</v>
      </c>
      <c r="G240" s="3">
        <v>6.38</v>
      </c>
      <c r="H240" s="3">
        <v>0</v>
      </c>
      <c r="I240" s="56">
        <f t="shared" si="11"/>
        <v>20.713070275946887</v>
      </c>
      <c r="J240" s="101" t="s">
        <v>10</v>
      </c>
      <c r="K240" s="101" t="s">
        <v>10</v>
      </c>
      <c r="L240" s="101" t="s">
        <v>10</v>
      </c>
      <c r="M240" s="3" t="s">
        <v>702</v>
      </c>
      <c r="N240" s="3" t="s">
        <v>15</v>
      </c>
      <c r="O240" s="279" t="s">
        <v>10</v>
      </c>
      <c r="P240" s="280"/>
      <c r="Q240" s="281"/>
    </row>
    <row r="241" spans="1:17" hidden="1" x14ac:dyDescent="0.3">
      <c r="A241" s="40">
        <v>43292</v>
      </c>
      <c r="B241" s="78" t="s">
        <v>783</v>
      </c>
      <c r="C241" s="41" t="s">
        <v>784</v>
      </c>
      <c r="D241" s="41">
        <v>1.0008999999999999</v>
      </c>
      <c r="E241" s="82">
        <v>14</v>
      </c>
      <c r="F241" s="79">
        <f t="shared" si="13"/>
        <v>1.9596363273054256</v>
      </c>
      <c r="G241" s="78">
        <v>6.25</v>
      </c>
      <c r="H241" s="3">
        <v>0</v>
      </c>
      <c r="I241" s="79">
        <f t="shared" ref="I241:I252" si="14">+F241*G241*((100-H241)/100)</f>
        <v>12.247727045658911</v>
      </c>
      <c r="J241" s="101" t="s">
        <v>10</v>
      </c>
      <c r="K241" s="101" t="s">
        <v>10</v>
      </c>
      <c r="L241" s="101" t="s">
        <v>10</v>
      </c>
      <c r="M241" s="3" t="s">
        <v>702</v>
      </c>
      <c r="N241" s="3" t="s">
        <v>15</v>
      </c>
      <c r="O241" s="279" t="s">
        <v>10</v>
      </c>
      <c r="P241" s="280"/>
      <c r="Q241" s="281"/>
    </row>
    <row r="242" spans="1:17" hidden="1" x14ac:dyDescent="0.3">
      <c r="A242" s="31">
        <v>43299</v>
      </c>
      <c r="B242" s="3" t="s">
        <v>793</v>
      </c>
      <c r="C242" s="2" t="s">
        <v>792</v>
      </c>
      <c r="D242" s="2">
        <v>1.0001</v>
      </c>
      <c r="E242" s="66">
        <v>8.3379999999999992</v>
      </c>
      <c r="F242" s="56">
        <f>+E242*0.1*14.01/(D242*10)</f>
        <v>1.1680369963003701</v>
      </c>
      <c r="G242" s="3">
        <v>6.25</v>
      </c>
      <c r="H242" s="3">
        <v>0</v>
      </c>
      <c r="I242" s="56">
        <f t="shared" si="14"/>
        <v>7.3002312268773126</v>
      </c>
      <c r="J242" s="101" t="s">
        <v>10</v>
      </c>
      <c r="K242" s="101" t="s">
        <v>10</v>
      </c>
      <c r="L242" s="101" t="s">
        <v>10</v>
      </c>
      <c r="M242" s="3" t="s">
        <v>15</v>
      </c>
      <c r="N242" s="3" t="s">
        <v>15</v>
      </c>
      <c r="O242" s="279" t="s">
        <v>10</v>
      </c>
      <c r="P242" s="280"/>
      <c r="Q242" s="281"/>
    </row>
    <row r="243" spans="1:17" hidden="1" x14ac:dyDescent="0.3">
      <c r="A243" s="31">
        <v>43299</v>
      </c>
      <c r="B243" s="3" t="s">
        <v>790</v>
      </c>
      <c r="C243" s="2" t="s">
        <v>791</v>
      </c>
      <c r="D243" s="2">
        <v>1.0002</v>
      </c>
      <c r="E243" s="66">
        <v>0.24</v>
      </c>
      <c r="F243" s="56">
        <f t="shared" ref="F243:F307" si="15">+E243*0.1*14.01/(D243*10)</f>
        <v>3.3617276544691065E-2</v>
      </c>
      <c r="G243" s="3">
        <v>6.25</v>
      </c>
      <c r="H243" s="3">
        <v>0</v>
      </c>
      <c r="I243" s="56">
        <f t="shared" si="14"/>
        <v>0.21010797840431916</v>
      </c>
      <c r="J243" s="101" t="s">
        <v>10</v>
      </c>
      <c r="K243" s="101" t="s">
        <v>10</v>
      </c>
      <c r="L243" s="101" t="s">
        <v>10</v>
      </c>
      <c r="M243" s="3" t="s">
        <v>15</v>
      </c>
      <c r="N243" s="3" t="s">
        <v>15</v>
      </c>
      <c r="O243" s="279" t="s">
        <v>10</v>
      </c>
      <c r="P243" s="280"/>
      <c r="Q243" s="281"/>
    </row>
    <row r="244" spans="1:17" hidden="1" x14ac:dyDescent="0.3">
      <c r="A244" s="31">
        <v>43299</v>
      </c>
      <c r="B244" s="3" t="s">
        <v>775</v>
      </c>
      <c r="C244" s="2" t="s">
        <v>776</v>
      </c>
      <c r="D244" s="2">
        <v>1.0003</v>
      </c>
      <c r="E244" s="3">
        <v>26.797999999999998</v>
      </c>
      <c r="F244" s="56">
        <f>+E244*0.1*14.01/((D244-(D244*'GRASA AOAC 920.39'!I270/100))*10)</f>
        <v>5.3335715841055293</v>
      </c>
      <c r="G244" s="3">
        <v>6.38</v>
      </c>
      <c r="H244" s="3">
        <v>0</v>
      </c>
      <c r="I244" s="63">
        <f t="shared" si="14"/>
        <v>34.028186706593274</v>
      </c>
      <c r="J244" s="101" t="s">
        <v>10</v>
      </c>
      <c r="K244" s="101" t="s">
        <v>10</v>
      </c>
      <c r="L244" s="101" t="s">
        <v>10</v>
      </c>
      <c r="M244" s="3" t="s">
        <v>15</v>
      </c>
      <c r="N244" s="3" t="s">
        <v>15</v>
      </c>
      <c r="O244" s="279" t="s">
        <v>10</v>
      </c>
      <c r="P244" s="280"/>
      <c r="Q244" s="281"/>
    </row>
    <row r="245" spans="1:17" hidden="1" x14ac:dyDescent="0.3">
      <c r="A245" s="74">
        <v>43299</v>
      </c>
      <c r="B245" s="57" t="s">
        <v>777</v>
      </c>
      <c r="C245" s="36" t="s">
        <v>778</v>
      </c>
      <c r="D245" s="44">
        <v>1.0002</v>
      </c>
      <c r="E245" s="32">
        <v>28.018000000000001</v>
      </c>
      <c r="F245" s="34">
        <f t="shared" si="15"/>
        <v>3.9245368926214756</v>
      </c>
      <c r="G245" s="57">
        <v>6.38</v>
      </c>
      <c r="H245" s="3">
        <v>0</v>
      </c>
      <c r="I245" s="80">
        <f t="shared" si="14"/>
        <v>25.038545374925015</v>
      </c>
      <c r="J245" s="101" t="s">
        <v>10</v>
      </c>
      <c r="K245" s="101" t="s">
        <v>10</v>
      </c>
      <c r="L245" s="101" t="s">
        <v>10</v>
      </c>
      <c r="M245" s="3" t="s">
        <v>15</v>
      </c>
      <c r="N245" s="3" t="s">
        <v>15</v>
      </c>
      <c r="O245" s="279" t="s">
        <v>10</v>
      </c>
      <c r="P245" s="280"/>
      <c r="Q245" s="281"/>
    </row>
    <row r="246" spans="1:17" hidden="1" x14ac:dyDescent="0.3">
      <c r="A246" s="31">
        <v>43299</v>
      </c>
      <c r="B246" s="3" t="s">
        <v>788</v>
      </c>
      <c r="C246" s="2" t="s">
        <v>774</v>
      </c>
      <c r="D246" s="2">
        <v>1.0004</v>
      </c>
      <c r="E246" s="3">
        <v>37.322000000000003</v>
      </c>
      <c r="F246" s="56">
        <f t="shared" si="15"/>
        <v>5.2267215113954428</v>
      </c>
      <c r="G246" s="3">
        <v>6.38</v>
      </c>
      <c r="H246" s="3">
        <v>0</v>
      </c>
      <c r="I246" s="63">
        <f t="shared" si="14"/>
        <v>33.346483242702924</v>
      </c>
      <c r="J246" s="101" t="s">
        <v>10</v>
      </c>
      <c r="K246" s="101" t="s">
        <v>10</v>
      </c>
      <c r="L246" s="101" t="s">
        <v>10</v>
      </c>
      <c r="M246" s="3" t="s">
        <v>15</v>
      </c>
      <c r="N246" s="3" t="s">
        <v>15</v>
      </c>
      <c r="O246" s="279" t="s">
        <v>10</v>
      </c>
      <c r="P246" s="280"/>
      <c r="Q246" s="281"/>
    </row>
    <row r="247" spans="1:17" hidden="1" x14ac:dyDescent="0.3">
      <c r="A247" s="42">
        <v>43292</v>
      </c>
      <c r="B247" s="3" t="s">
        <v>127</v>
      </c>
      <c r="C247" s="3" t="s">
        <v>802</v>
      </c>
      <c r="D247" s="3">
        <v>10</v>
      </c>
      <c r="E247" s="3">
        <v>27.007999999999999</v>
      </c>
      <c r="F247" s="56">
        <f t="shared" si="15"/>
        <v>0.37838208000000001</v>
      </c>
      <c r="G247" s="3">
        <v>6.38</v>
      </c>
      <c r="H247" s="3">
        <v>0</v>
      </c>
      <c r="I247" s="63">
        <f t="shared" si="14"/>
        <v>2.4140776704000002</v>
      </c>
      <c r="J247" s="101" t="s">
        <v>10</v>
      </c>
      <c r="K247" s="101" t="s">
        <v>10</v>
      </c>
      <c r="L247" s="101" t="s">
        <v>10</v>
      </c>
      <c r="M247" s="3" t="s">
        <v>702</v>
      </c>
      <c r="N247" s="3" t="s">
        <v>15</v>
      </c>
      <c r="O247" s="202" t="s">
        <v>804</v>
      </c>
      <c r="P247" s="202"/>
      <c r="Q247" s="202"/>
    </row>
    <row r="248" spans="1:17" hidden="1" x14ac:dyDescent="0.3">
      <c r="A248" s="42">
        <v>43292</v>
      </c>
      <c r="B248" s="3" t="s">
        <v>127</v>
      </c>
      <c r="C248" s="3" t="s">
        <v>803</v>
      </c>
      <c r="D248" s="3">
        <v>10</v>
      </c>
      <c r="E248" s="3">
        <v>2</v>
      </c>
      <c r="F248" s="56">
        <f t="shared" si="15"/>
        <v>2.802E-2</v>
      </c>
      <c r="G248" s="3">
        <v>6.38</v>
      </c>
      <c r="H248" s="3">
        <v>0</v>
      </c>
      <c r="I248" s="63">
        <f t="shared" si="14"/>
        <v>0.1787676</v>
      </c>
      <c r="J248" s="101" t="s">
        <v>10</v>
      </c>
      <c r="K248" s="101" t="s">
        <v>10</v>
      </c>
      <c r="L248" s="101" t="s">
        <v>10</v>
      </c>
      <c r="M248" s="3" t="s">
        <v>702</v>
      </c>
      <c r="N248" s="3" t="s">
        <v>15</v>
      </c>
      <c r="O248" s="202" t="s">
        <v>804</v>
      </c>
      <c r="P248" s="202"/>
      <c r="Q248" s="202"/>
    </row>
    <row r="249" spans="1:17" hidden="1" x14ac:dyDescent="0.3">
      <c r="A249" s="31">
        <v>43305</v>
      </c>
      <c r="B249" s="15" t="s">
        <v>783</v>
      </c>
      <c r="C249" s="2" t="s">
        <v>809</v>
      </c>
      <c r="D249" s="2">
        <f>+'FIBRA DIETARIA KIT'!H89</f>
        <v>0.37280000000000513</v>
      </c>
      <c r="E249" s="3">
        <v>22.411999999999999</v>
      </c>
      <c r="F249" s="56">
        <f t="shared" si="15"/>
        <v>8.4225354077252064</v>
      </c>
      <c r="G249" s="3">
        <v>6.25</v>
      </c>
      <c r="H249" s="3">
        <v>0</v>
      </c>
      <c r="I249" s="63">
        <f t="shared" si="14"/>
        <v>52.64084629828254</v>
      </c>
      <c r="J249" s="101" t="s">
        <v>10</v>
      </c>
      <c r="K249" s="101" t="s">
        <v>10</v>
      </c>
      <c r="L249" s="101" t="s">
        <v>10</v>
      </c>
      <c r="M249" s="3" t="s">
        <v>14</v>
      </c>
      <c r="N249" s="3" t="s">
        <v>15</v>
      </c>
      <c r="O249" s="279" t="s">
        <v>10</v>
      </c>
      <c r="P249" s="280"/>
      <c r="Q249" s="281"/>
    </row>
    <row r="250" spans="1:17" hidden="1" x14ac:dyDescent="0.3">
      <c r="A250" s="31">
        <v>43305</v>
      </c>
      <c r="B250" s="3" t="s">
        <v>808</v>
      </c>
      <c r="C250" s="2" t="s">
        <v>810</v>
      </c>
      <c r="D250" s="2">
        <f>+'FIBRA DIETARIA KIT'!H91</f>
        <v>7.5999999999964984E-3</v>
      </c>
      <c r="E250" s="56">
        <v>0</v>
      </c>
      <c r="F250" s="56">
        <f t="shared" si="15"/>
        <v>0</v>
      </c>
      <c r="G250" s="3">
        <v>6.25</v>
      </c>
      <c r="H250" s="3">
        <v>0</v>
      </c>
      <c r="I250" s="63">
        <f t="shared" si="14"/>
        <v>0</v>
      </c>
      <c r="J250" s="101" t="s">
        <v>10</v>
      </c>
      <c r="K250" s="101" t="s">
        <v>10</v>
      </c>
      <c r="L250" s="101" t="s">
        <v>10</v>
      </c>
      <c r="M250" s="3" t="s">
        <v>14</v>
      </c>
      <c r="N250" s="3" t="s">
        <v>15</v>
      </c>
      <c r="O250" s="279" t="s">
        <v>10</v>
      </c>
      <c r="P250" s="280"/>
      <c r="Q250" s="281"/>
    </row>
    <row r="251" spans="1:17" hidden="1" x14ac:dyDescent="0.3">
      <c r="A251" s="31">
        <v>43305</v>
      </c>
      <c r="B251" s="3" t="s">
        <v>808</v>
      </c>
      <c r="C251" s="2" t="s">
        <v>811</v>
      </c>
      <c r="D251" s="2">
        <f>+'FIBRA DIETARIA KIT'!H93</f>
        <v>3.0000000000001137E-2</v>
      </c>
      <c r="E251" s="3">
        <v>0</v>
      </c>
      <c r="F251" s="56">
        <f t="shared" si="15"/>
        <v>0</v>
      </c>
      <c r="G251" s="3">
        <v>6.25</v>
      </c>
      <c r="H251" s="3">
        <v>0</v>
      </c>
      <c r="I251" s="63">
        <f t="shared" si="14"/>
        <v>0</v>
      </c>
      <c r="J251" s="101" t="s">
        <v>10</v>
      </c>
      <c r="K251" s="101" t="s">
        <v>10</v>
      </c>
      <c r="L251" s="101" t="s">
        <v>10</v>
      </c>
      <c r="M251" s="3" t="s">
        <v>14</v>
      </c>
      <c r="N251" s="3" t="s">
        <v>15</v>
      </c>
      <c r="O251" s="279" t="s">
        <v>10</v>
      </c>
      <c r="P251" s="280"/>
      <c r="Q251" s="281"/>
    </row>
    <row r="252" spans="1:17" ht="17.25" hidden="1" customHeight="1" x14ac:dyDescent="0.3">
      <c r="A252" s="31">
        <v>43305</v>
      </c>
      <c r="B252" s="3" t="s">
        <v>816</v>
      </c>
      <c r="C252" s="2" t="s">
        <v>815</v>
      </c>
      <c r="D252" s="2">
        <v>1.0005999999999999</v>
      </c>
      <c r="E252" s="3">
        <v>5.1980000000000004</v>
      </c>
      <c r="F252" s="56">
        <f t="shared" si="15"/>
        <v>0.72780311812912257</v>
      </c>
      <c r="G252" s="3">
        <v>6.25</v>
      </c>
      <c r="H252" s="3">
        <v>0</v>
      </c>
      <c r="I252" s="63">
        <f t="shared" si="14"/>
        <v>4.5487694883070162</v>
      </c>
      <c r="J252" s="101" t="s">
        <v>10</v>
      </c>
      <c r="K252" s="101" t="s">
        <v>10</v>
      </c>
      <c r="L252" s="101" t="s">
        <v>10</v>
      </c>
      <c r="M252" s="3" t="s">
        <v>14</v>
      </c>
      <c r="N252" s="3" t="s">
        <v>15</v>
      </c>
      <c r="O252" s="279" t="s">
        <v>10</v>
      </c>
      <c r="P252" s="280"/>
      <c r="Q252" s="281"/>
    </row>
    <row r="253" spans="1:17" ht="46.5" hidden="1" customHeight="1" x14ac:dyDescent="0.3">
      <c r="A253" s="102">
        <v>43307</v>
      </c>
      <c r="B253" s="47" t="s">
        <v>838</v>
      </c>
      <c r="C253" s="103" t="s">
        <v>837</v>
      </c>
      <c r="D253" s="103">
        <v>0.2009</v>
      </c>
      <c r="E253" s="103">
        <v>30.248000000000001</v>
      </c>
      <c r="F253" s="63">
        <f t="shared" si="15"/>
        <v>21.093801891488305</v>
      </c>
      <c r="G253" s="15" t="s">
        <v>10</v>
      </c>
      <c r="H253" s="15" t="s">
        <v>10</v>
      </c>
      <c r="I253" s="63" t="s">
        <v>10</v>
      </c>
      <c r="J253" s="220">
        <f>+AVERAGE(F253:F254)</f>
        <v>20.993579089456727</v>
      </c>
      <c r="K253" s="220">
        <f>+STDEVA(F253:F254)</f>
        <v>0.14173644589209086</v>
      </c>
      <c r="L253" s="220">
        <f>+(K253/J253)*100</f>
        <v>0.67514188642218187</v>
      </c>
      <c r="M253" s="15" t="s">
        <v>14</v>
      </c>
      <c r="N253" s="15" t="s">
        <v>15</v>
      </c>
      <c r="O253" s="303" t="s">
        <v>841</v>
      </c>
      <c r="P253" s="303"/>
      <c r="Q253" s="303"/>
    </row>
    <row r="254" spans="1:17" ht="47.25" hidden="1" customHeight="1" x14ac:dyDescent="0.3">
      <c r="A254" s="102">
        <v>43307</v>
      </c>
      <c r="B254" s="47" t="s">
        <v>839</v>
      </c>
      <c r="C254" s="103" t="s">
        <v>837</v>
      </c>
      <c r="D254" s="103">
        <v>0.20039999999999999</v>
      </c>
      <c r="E254" s="103">
        <v>29.885999999999999</v>
      </c>
      <c r="F254" s="63">
        <f t="shared" si="15"/>
        <v>20.893356287425149</v>
      </c>
      <c r="G254" s="15" t="s">
        <v>10</v>
      </c>
      <c r="H254" s="15" t="s">
        <v>10</v>
      </c>
      <c r="I254" s="63" t="s">
        <v>10</v>
      </c>
      <c r="J254" s="222"/>
      <c r="K254" s="222"/>
      <c r="L254" s="222"/>
      <c r="M254" s="15" t="s">
        <v>14</v>
      </c>
      <c r="N254" s="15" t="s">
        <v>15</v>
      </c>
      <c r="O254" s="303" t="s">
        <v>841</v>
      </c>
      <c r="P254" s="303"/>
      <c r="Q254" s="303"/>
    </row>
    <row r="255" spans="1:17" hidden="1" x14ac:dyDescent="0.3">
      <c r="A255" s="31">
        <v>43307</v>
      </c>
      <c r="B255" s="3" t="s">
        <v>822</v>
      </c>
      <c r="C255" s="19" t="s">
        <v>823</v>
      </c>
      <c r="D255" s="2">
        <v>1.0004999999999999</v>
      </c>
      <c r="E255" s="2">
        <v>8.5440000000000005</v>
      </c>
      <c r="F255" s="56">
        <f t="shared" si="15"/>
        <v>1.1964161919040481</v>
      </c>
      <c r="G255" s="3">
        <v>5.7</v>
      </c>
      <c r="H255" s="3" t="s">
        <v>10</v>
      </c>
      <c r="I255" s="63">
        <f t="shared" ref="I255:I286" si="16">+F255*G255</f>
        <v>6.8195722938530743</v>
      </c>
      <c r="J255" s="220">
        <f>+AVERAGE(I255:I256)</f>
        <v>6.8294921445274968</v>
      </c>
      <c r="K255" s="220">
        <f>+STDEVA(I255:I256)</f>
        <v>1.4028787360484152E-2</v>
      </c>
      <c r="L255" s="220">
        <f>+(K255/J255)*100</f>
        <v>0.20541479605808585</v>
      </c>
      <c r="M255" s="3" t="s">
        <v>14</v>
      </c>
      <c r="N255" s="3" t="s">
        <v>15</v>
      </c>
      <c r="O255" s="202" t="s">
        <v>10</v>
      </c>
      <c r="P255" s="202"/>
      <c r="Q255" s="202"/>
    </row>
    <row r="256" spans="1:17" hidden="1" x14ac:dyDescent="0.3">
      <c r="A256" s="31">
        <v>43307</v>
      </c>
      <c r="B256" s="3" t="s">
        <v>822</v>
      </c>
      <c r="C256" s="19" t="s">
        <v>823</v>
      </c>
      <c r="D256" s="2">
        <v>1.0004</v>
      </c>
      <c r="E256" s="2">
        <v>8.5679999999999996</v>
      </c>
      <c r="F256" s="56">
        <f t="shared" si="15"/>
        <v>1.1998968412634945</v>
      </c>
      <c r="G256" s="3">
        <v>5.7</v>
      </c>
      <c r="H256" s="3" t="s">
        <v>10</v>
      </c>
      <c r="I256" s="63">
        <f t="shared" si="16"/>
        <v>6.8394119952019192</v>
      </c>
      <c r="J256" s="222"/>
      <c r="K256" s="222"/>
      <c r="L256" s="222"/>
      <c r="M256" s="3" t="s">
        <v>14</v>
      </c>
      <c r="N256" s="3" t="s">
        <v>15</v>
      </c>
      <c r="O256" s="202" t="s">
        <v>10</v>
      </c>
      <c r="P256" s="202"/>
      <c r="Q256" s="202"/>
    </row>
    <row r="257" spans="1:17" hidden="1" x14ac:dyDescent="0.3">
      <c r="A257" s="31">
        <v>43305</v>
      </c>
      <c r="B257" s="3" t="s">
        <v>846</v>
      </c>
      <c r="C257" s="2" t="s">
        <v>847</v>
      </c>
      <c r="D257" s="2">
        <v>1.0006999999999999</v>
      </c>
      <c r="E257" s="2">
        <v>7.52</v>
      </c>
      <c r="F257" s="56">
        <f t="shared" si="15"/>
        <v>1.0528150294793646</v>
      </c>
      <c r="G257" s="3">
        <v>6.38</v>
      </c>
      <c r="H257" s="2" t="s">
        <v>10</v>
      </c>
      <c r="I257" s="63">
        <f t="shared" si="16"/>
        <v>6.7169598880783461</v>
      </c>
      <c r="J257" s="2" t="s">
        <v>10</v>
      </c>
      <c r="K257" s="2" t="s">
        <v>10</v>
      </c>
      <c r="L257" s="2" t="s">
        <v>10</v>
      </c>
      <c r="M257" s="3" t="s">
        <v>14</v>
      </c>
      <c r="N257" s="3" t="s">
        <v>15</v>
      </c>
      <c r="O257" s="202" t="s">
        <v>10</v>
      </c>
      <c r="P257" s="202"/>
      <c r="Q257" s="202"/>
    </row>
    <row r="258" spans="1:17" hidden="1" x14ac:dyDescent="0.3">
      <c r="A258" s="31">
        <v>43305</v>
      </c>
      <c r="B258" s="15" t="s">
        <v>821</v>
      </c>
      <c r="C258" s="19" t="s">
        <v>824</v>
      </c>
      <c r="D258" s="2">
        <v>1.0001</v>
      </c>
      <c r="E258" s="2">
        <v>3.9159999999999999</v>
      </c>
      <c r="F258" s="56">
        <f t="shared" si="15"/>
        <v>0.54857674232576736</v>
      </c>
      <c r="G258" s="3">
        <v>6.38</v>
      </c>
      <c r="H258" s="2" t="s">
        <v>10</v>
      </c>
      <c r="I258" s="63">
        <f t="shared" si="16"/>
        <v>3.4999196160383956</v>
      </c>
      <c r="J258" s="2" t="s">
        <v>10</v>
      </c>
      <c r="K258" s="2" t="s">
        <v>10</v>
      </c>
      <c r="L258" s="2" t="s">
        <v>10</v>
      </c>
      <c r="M258" s="3" t="s">
        <v>14</v>
      </c>
      <c r="N258" s="3" t="s">
        <v>15</v>
      </c>
      <c r="O258" s="202" t="s">
        <v>10</v>
      </c>
      <c r="P258" s="202"/>
      <c r="Q258" s="202"/>
    </row>
    <row r="259" spans="1:17" hidden="1" x14ac:dyDescent="0.3">
      <c r="A259" s="31">
        <v>43305</v>
      </c>
      <c r="B259" s="15" t="s">
        <v>848</v>
      </c>
      <c r="C259" s="19" t="s">
        <v>849</v>
      </c>
      <c r="D259" s="4">
        <v>1</v>
      </c>
      <c r="E259" s="2">
        <v>4.3319999999999999</v>
      </c>
      <c r="F259" s="56">
        <f t="shared" si="15"/>
        <v>0.60691320000000004</v>
      </c>
      <c r="G259" s="3">
        <v>6.38</v>
      </c>
      <c r="H259" s="2" t="s">
        <v>10</v>
      </c>
      <c r="I259" s="63">
        <f t="shared" si="16"/>
        <v>3.8721062160000002</v>
      </c>
      <c r="J259" s="2" t="s">
        <v>10</v>
      </c>
      <c r="K259" s="2" t="s">
        <v>10</v>
      </c>
      <c r="L259" s="2" t="s">
        <v>10</v>
      </c>
      <c r="M259" s="3" t="s">
        <v>14</v>
      </c>
      <c r="N259" s="3" t="s">
        <v>15</v>
      </c>
      <c r="O259" s="202" t="s">
        <v>10</v>
      </c>
      <c r="P259" s="202"/>
      <c r="Q259" s="202"/>
    </row>
    <row r="260" spans="1:17" hidden="1" x14ac:dyDescent="0.3">
      <c r="A260" s="31">
        <v>43305</v>
      </c>
      <c r="B260" s="15" t="s">
        <v>850</v>
      </c>
      <c r="C260" s="19" t="s">
        <v>851</v>
      </c>
      <c r="D260" s="2">
        <v>1.0008999999999999</v>
      </c>
      <c r="E260" s="2">
        <v>5.234</v>
      </c>
      <c r="F260" s="56">
        <f t="shared" si="15"/>
        <v>0.73262403836547108</v>
      </c>
      <c r="G260" s="3">
        <v>6.38</v>
      </c>
      <c r="H260" s="2" t="s">
        <v>10</v>
      </c>
      <c r="I260" s="63">
        <f t="shared" si="16"/>
        <v>4.6741413647717049</v>
      </c>
      <c r="J260" s="2" t="s">
        <v>10</v>
      </c>
      <c r="K260" s="2" t="s">
        <v>10</v>
      </c>
      <c r="L260" s="2" t="s">
        <v>10</v>
      </c>
      <c r="M260" s="3" t="s">
        <v>14</v>
      </c>
      <c r="N260" s="3" t="s">
        <v>15</v>
      </c>
      <c r="O260" s="202" t="s">
        <v>10</v>
      </c>
      <c r="P260" s="202"/>
      <c r="Q260" s="202"/>
    </row>
    <row r="261" spans="1:17" hidden="1" x14ac:dyDescent="0.3">
      <c r="A261" s="31">
        <v>43305</v>
      </c>
      <c r="B261" s="15" t="s">
        <v>852</v>
      </c>
      <c r="C261" s="19" t="s">
        <v>853</v>
      </c>
      <c r="D261" s="2">
        <v>1.0008999999999999</v>
      </c>
      <c r="E261" s="2">
        <v>9.34</v>
      </c>
      <c r="F261" s="56">
        <f t="shared" si="15"/>
        <v>1.3073573783594767</v>
      </c>
      <c r="G261" s="3">
        <v>6.38</v>
      </c>
      <c r="H261" s="2" t="s">
        <v>10</v>
      </c>
      <c r="I261" s="63">
        <f t="shared" si="16"/>
        <v>8.3409400739334618</v>
      </c>
      <c r="J261" s="2" t="s">
        <v>10</v>
      </c>
      <c r="K261" s="2" t="s">
        <v>10</v>
      </c>
      <c r="L261" s="2" t="s">
        <v>10</v>
      </c>
      <c r="M261" s="3" t="s">
        <v>14</v>
      </c>
      <c r="N261" s="3" t="s">
        <v>15</v>
      </c>
      <c r="O261" s="202" t="s">
        <v>10</v>
      </c>
      <c r="P261" s="202"/>
      <c r="Q261" s="202"/>
    </row>
    <row r="262" spans="1:17" hidden="1" x14ac:dyDescent="0.3">
      <c r="A262" s="31">
        <v>43305</v>
      </c>
      <c r="B262" s="15" t="s">
        <v>854</v>
      </c>
      <c r="C262" s="19" t="s">
        <v>855</v>
      </c>
      <c r="D262" s="2">
        <v>1.0007999999999999</v>
      </c>
      <c r="E262" s="2">
        <v>5.242</v>
      </c>
      <c r="F262" s="56">
        <f t="shared" si="15"/>
        <v>0.73381714628297368</v>
      </c>
      <c r="G262" s="3">
        <v>6.38</v>
      </c>
      <c r="H262" s="2" t="s">
        <v>10</v>
      </c>
      <c r="I262" s="63">
        <f t="shared" si="16"/>
        <v>4.6817533932853719</v>
      </c>
      <c r="J262" s="2" t="s">
        <v>10</v>
      </c>
      <c r="K262" s="2" t="s">
        <v>10</v>
      </c>
      <c r="L262" s="2" t="s">
        <v>10</v>
      </c>
      <c r="M262" s="3" t="s">
        <v>14</v>
      </c>
      <c r="N262" s="3" t="s">
        <v>15</v>
      </c>
      <c r="O262" s="202" t="s">
        <v>10</v>
      </c>
      <c r="P262" s="202"/>
      <c r="Q262" s="202"/>
    </row>
    <row r="263" spans="1:17" hidden="1" x14ac:dyDescent="0.3">
      <c r="A263" s="31">
        <v>43305</v>
      </c>
      <c r="B263" s="15" t="s">
        <v>856</v>
      </c>
      <c r="C263" s="19" t="s">
        <v>857</v>
      </c>
      <c r="D263" s="2">
        <v>1.0003</v>
      </c>
      <c r="E263" s="2">
        <v>6.3159999999999998</v>
      </c>
      <c r="F263" s="56">
        <f t="shared" si="15"/>
        <v>0.88460621813455975</v>
      </c>
      <c r="G263" s="3">
        <v>6.38</v>
      </c>
      <c r="H263" s="2" t="s">
        <v>10</v>
      </c>
      <c r="I263" s="63">
        <f t="shared" si="16"/>
        <v>5.6437876716984912</v>
      </c>
      <c r="J263" s="2" t="s">
        <v>10</v>
      </c>
      <c r="K263" s="2" t="s">
        <v>10</v>
      </c>
      <c r="L263" s="2" t="s">
        <v>10</v>
      </c>
      <c r="M263" s="3" t="s">
        <v>14</v>
      </c>
      <c r="N263" s="3" t="s">
        <v>15</v>
      </c>
      <c r="O263" s="202" t="s">
        <v>10</v>
      </c>
      <c r="P263" s="202"/>
      <c r="Q263" s="202"/>
    </row>
    <row r="264" spans="1:17" hidden="1" x14ac:dyDescent="0.3">
      <c r="A264" s="31">
        <v>43305</v>
      </c>
      <c r="B264" s="15" t="s">
        <v>858</v>
      </c>
      <c r="C264" s="19" t="s">
        <v>861</v>
      </c>
      <c r="D264" s="2">
        <v>1.0004999999999999</v>
      </c>
      <c r="E264" s="2">
        <v>4.6820000000000004</v>
      </c>
      <c r="F264" s="56">
        <f t="shared" si="15"/>
        <v>0.65562038980509763</v>
      </c>
      <c r="G264" s="3">
        <v>6.38</v>
      </c>
      <c r="H264" s="2" t="s">
        <v>10</v>
      </c>
      <c r="I264" s="63">
        <f t="shared" si="16"/>
        <v>4.1828580869565224</v>
      </c>
      <c r="J264" s="2" t="s">
        <v>10</v>
      </c>
      <c r="K264" s="2" t="s">
        <v>10</v>
      </c>
      <c r="L264" s="2" t="s">
        <v>10</v>
      </c>
      <c r="M264" s="3" t="s">
        <v>14</v>
      </c>
      <c r="N264" s="3" t="s">
        <v>15</v>
      </c>
      <c r="O264" s="202" t="s">
        <v>10</v>
      </c>
      <c r="P264" s="202"/>
      <c r="Q264" s="202"/>
    </row>
    <row r="265" spans="1:17" hidden="1" x14ac:dyDescent="0.3">
      <c r="A265" s="31">
        <v>43305</v>
      </c>
      <c r="B265" s="15" t="s">
        <v>860</v>
      </c>
      <c r="C265" s="19" t="s">
        <v>859</v>
      </c>
      <c r="D265" s="2">
        <v>1.0005999999999999</v>
      </c>
      <c r="E265" s="2">
        <v>4.7320000000000002</v>
      </c>
      <c r="F265" s="56">
        <f t="shared" si="15"/>
        <v>0.66255566660004006</v>
      </c>
      <c r="G265" s="3">
        <v>6.38</v>
      </c>
      <c r="H265" s="2" t="s">
        <v>10</v>
      </c>
      <c r="I265" s="63">
        <f t="shared" si="16"/>
        <v>4.2271051529082557</v>
      </c>
      <c r="J265" s="2" t="s">
        <v>10</v>
      </c>
      <c r="K265" s="2" t="s">
        <v>10</v>
      </c>
      <c r="L265" s="2" t="s">
        <v>10</v>
      </c>
      <c r="M265" s="3" t="s">
        <v>14</v>
      </c>
      <c r="N265" s="3" t="s">
        <v>15</v>
      </c>
      <c r="O265" s="202" t="s">
        <v>10</v>
      </c>
      <c r="P265" s="202"/>
      <c r="Q265" s="202"/>
    </row>
    <row r="266" spans="1:17" hidden="1" x14ac:dyDescent="0.3">
      <c r="A266" s="31">
        <v>43315</v>
      </c>
      <c r="B266" s="3" t="s">
        <v>920</v>
      </c>
      <c r="C266" s="2" t="s">
        <v>921</v>
      </c>
      <c r="D266" s="2">
        <v>1.0005999999999999</v>
      </c>
      <c r="E266" s="2">
        <v>4.22</v>
      </c>
      <c r="F266" s="56">
        <f>+E266*0.1*1.401*100/(D266*10)</f>
        <v>5.9086747951229261</v>
      </c>
      <c r="G266" s="3">
        <v>6.25</v>
      </c>
      <c r="H266" s="2" t="s">
        <v>10</v>
      </c>
      <c r="I266" s="63">
        <f t="shared" si="16"/>
        <v>36.929217469518285</v>
      </c>
      <c r="J266" s="2" t="s">
        <v>10</v>
      </c>
      <c r="K266" s="2" t="s">
        <v>10</v>
      </c>
      <c r="L266" s="2" t="s">
        <v>10</v>
      </c>
      <c r="M266" s="3" t="s">
        <v>14</v>
      </c>
      <c r="N266" s="3" t="s">
        <v>15</v>
      </c>
      <c r="O266" s="279" t="s">
        <v>529</v>
      </c>
      <c r="P266" s="280"/>
      <c r="Q266" s="281"/>
    </row>
    <row r="267" spans="1:17" hidden="1" x14ac:dyDescent="0.3">
      <c r="A267" s="31">
        <v>43315</v>
      </c>
      <c r="B267" s="3" t="s">
        <v>920</v>
      </c>
      <c r="C267" s="2" t="s">
        <v>921</v>
      </c>
      <c r="D267" s="2">
        <v>1.0004</v>
      </c>
      <c r="E267" s="2">
        <v>51.192</v>
      </c>
      <c r="F267" s="56">
        <f t="shared" si="15"/>
        <v>7.1691315473810482</v>
      </c>
      <c r="G267" s="3">
        <v>6.25</v>
      </c>
      <c r="H267" s="2" t="s">
        <v>10</v>
      </c>
      <c r="I267" s="63">
        <f t="shared" si="16"/>
        <v>44.807072171131551</v>
      </c>
      <c r="J267" s="2" t="s">
        <v>10</v>
      </c>
      <c r="K267" s="2" t="s">
        <v>10</v>
      </c>
      <c r="L267" s="2" t="s">
        <v>10</v>
      </c>
      <c r="M267" s="3" t="s">
        <v>14</v>
      </c>
      <c r="N267" s="3" t="s">
        <v>15</v>
      </c>
      <c r="O267" s="202" t="s">
        <v>10</v>
      </c>
      <c r="P267" s="202"/>
      <c r="Q267" s="202"/>
    </row>
    <row r="268" spans="1:17" hidden="1" x14ac:dyDescent="0.3">
      <c r="A268" s="31">
        <v>43315</v>
      </c>
      <c r="B268" s="3" t="s">
        <v>927</v>
      </c>
      <c r="C268" s="2" t="s">
        <v>926</v>
      </c>
      <c r="D268" s="4">
        <v>1</v>
      </c>
      <c r="E268" s="2">
        <v>8.3940000000000001</v>
      </c>
      <c r="F268" s="56">
        <f t="shared" si="15"/>
        <v>1.1759994</v>
      </c>
      <c r="G268" s="3">
        <v>6.25</v>
      </c>
      <c r="H268" s="2" t="s">
        <v>10</v>
      </c>
      <c r="I268" s="63">
        <f t="shared" si="16"/>
        <v>7.3499962500000002</v>
      </c>
      <c r="J268" s="2" t="s">
        <v>10</v>
      </c>
      <c r="K268" s="2" t="s">
        <v>10</v>
      </c>
      <c r="L268" s="2" t="s">
        <v>10</v>
      </c>
      <c r="M268" s="3" t="s">
        <v>14</v>
      </c>
      <c r="N268" s="3" t="s">
        <v>15</v>
      </c>
      <c r="O268" s="279" t="s">
        <v>529</v>
      </c>
      <c r="P268" s="280"/>
      <c r="Q268" s="281"/>
    </row>
    <row r="269" spans="1:17" hidden="1" x14ac:dyDescent="0.3">
      <c r="A269" s="31">
        <v>43315</v>
      </c>
      <c r="B269" s="3" t="s">
        <v>922</v>
      </c>
      <c r="C269" s="2" t="s">
        <v>923</v>
      </c>
      <c r="D269" s="2">
        <v>1.0001</v>
      </c>
      <c r="E269" s="2">
        <v>0.24199999999999999</v>
      </c>
      <c r="F269" s="3">
        <f t="shared" si="15"/>
        <v>3.3900809919008103E-2</v>
      </c>
      <c r="G269" s="3">
        <v>6.25</v>
      </c>
      <c r="H269" s="2">
        <v>0</v>
      </c>
      <c r="I269" s="63">
        <f t="shared" si="16"/>
        <v>0.21188006199380063</v>
      </c>
      <c r="J269" s="2" t="s">
        <v>10</v>
      </c>
      <c r="K269" s="2" t="s">
        <v>10</v>
      </c>
      <c r="L269" s="2" t="s">
        <v>10</v>
      </c>
      <c r="M269" s="3" t="s">
        <v>14</v>
      </c>
      <c r="N269" s="3" t="s">
        <v>15</v>
      </c>
      <c r="O269" s="202" t="s">
        <v>10</v>
      </c>
      <c r="P269" s="202"/>
      <c r="Q269" s="202"/>
    </row>
    <row r="270" spans="1:17" hidden="1" x14ac:dyDescent="0.3">
      <c r="A270" s="31">
        <v>43315</v>
      </c>
      <c r="B270" s="3" t="s">
        <v>924</v>
      </c>
      <c r="C270" s="2" t="s">
        <v>925</v>
      </c>
      <c r="D270" s="2">
        <v>1.0003</v>
      </c>
      <c r="E270" s="2">
        <v>0.23799999999999999</v>
      </c>
      <c r="F270" s="3">
        <f t="shared" si="15"/>
        <v>3.3333799860041986E-2</v>
      </c>
      <c r="G270" s="3">
        <v>6.25</v>
      </c>
      <c r="H270" s="2">
        <v>0</v>
      </c>
      <c r="I270" s="63">
        <f t="shared" si="16"/>
        <v>0.20833624912526241</v>
      </c>
      <c r="J270" s="2" t="s">
        <v>10</v>
      </c>
      <c r="K270" s="2" t="s">
        <v>10</v>
      </c>
      <c r="L270" s="2" t="s">
        <v>10</v>
      </c>
      <c r="M270" s="3" t="s">
        <v>14</v>
      </c>
      <c r="N270" s="3" t="s">
        <v>15</v>
      </c>
      <c r="O270" s="202" t="s">
        <v>10</v>
      </c>
      <c r="P270" s="202"/>
      <c r="Q270" s="202"/>
    </row>
    <row r="271" spans="1:17" hidden="1" x14ac:dyDescent="0.3">
      <c r="A271" s="31">
        <v>43315</v>
      </c>
      <c r="B271" s="3" t="s">
        <v>928</v>
      </c>
      <c r="C271" s="2" t="s">
        <v>929</v>
      </c>
      <c r="D271" s="2">
        <v>1.0008999999999999</v>
      </c>
      <c r="E271" s="2">
        <v>4.8000000000000001E-2</v>
      </c>
      <c r="F271" s="3">
        <f t="shared" si="15"/>
        <v>6.7187531221900298E-3</v>
      </c>
      <c r="G271" s="3">
        <v>6.25</v>
      </c>
      <c r="H271" s="2">
        <v>0</v>
      </c>
      <c r="I271" s="63">
        <f t="shared" si="16"/>
        <v>4.1992207013687687E-2</v>
      </c>
      <c r="J271" s="2" t="s">
        <v>10</v>
      </c>
      <c r="K271" s="2" t="s">
        <v>10</v>
      </c>
      <c r="L271" s="2" t="s">
        <v>10</v>
      </c>
      <c r="M271" s="3" t="s">
        <v>14</v>
      </c>
      <c r="N271" s="3" t="s">
        <v>15</v>
      </c>
      <c r="O271" s="202" t="s">
        <v>10</v>
      </c>
      <c r="P271" s="202"/>
      <c r="Q271" s="202"/>
    </row>
    <row r="272" spans="1:17" hidden="1" x14ac:dyDescent="0.3">
      <c r="A272" s="49">
        <v>43315</v>
      </c>
      <c r="B272" s="3" t="s">
        <v>932</v>
      </c>
      <c r="C272" s="8" t="s">
        <v>930</v>
      </c>
      <c r="D272" s="2">
        <v>1.0008999999999999</v>
      </c>
      <c r="E272" s="2">
        <v>34.548000000000002</v>
      </c>
      <c r="F272" s="3">
        <f t="shared" si="15"/>
        <v>4.8358225596962745</v>
      </c>
      <c r="G272" s="3">
        <v>6.25</v>
      </c>
      <c r="H272" s="2">
        <v>0</v>
      </c>
      <c r="I272" s="63">
        <f t="shared" si="16"/>
        <v>30.223890998101716</v>
      </c>
      <c r="J272" s="2" t="s">
        <v>10</v>
      </c>
      <c r="K272" s="2" t="s">
        <v>10</v>
      </c>
      <c r="L272" s="2" t="s">
        <v>10</v>
      </c>
      <c r="M272" s="3" t="s">
        <v>14</v>
      </c>
      <c r="N272" s="3" t="s">
        <v>15</v>
      </c>
      <c r="O272" s="202" t="s">
        <v>10</v>
      </c>
      <c r="P272" s="202"/>
      <c r="Q272" s="202"/>
    </row>
    <row r="273" spans="1:17" hidden="1" x14ac:dyDescent="0.3">
      <c r="A273" s="49">
        <v>43315</v>
      </c>
      <c r="B273" s="3" t="s">
        <v>933</v>
      </c>
      <c r="C273" s="8" t="s">
        <v>931</v>
      </c>
      <c r="D273" s="2">
        <v>1.0008999999999999</v>
      </c>
      <c r="E273" s="2">
        <v>17.042000000000002</v>
      </c>
      <c r="F273" s="3">
        <f t="shared" si="15"/>
        <v>2.3854373064242189</v>
      </c>
      <c r="G273" s="3">
        <v>6.25</v>
      </c>
      <c r="H273" s="2">
        <v>0</v>
      </c>
      <c r="I273" s="63">
        <f t="shared" si="16"/>
        <v>14.908983165151369</v>
      </c>
      <c r="J273" s="2" t="s">
        <v>10</v>
      </c>
      <c r="K273" s="2" t="s">
        <v>10</v>
      </c>
      <c r="L273" s="2" t="s">
        <v>10</v>
      </c>
      <c r="M273" s="3" t="s">
        <v>14</v>
      </c>
      <c r="N273" s="3" t="s">
        <v>15</v>
      </c>
      <c r="O273" s="202" t="s">
        <v>10</v>
      </c>
      <c r="P273" s="202"/>
      <c r="Q273" s="202"/>
    </row>
    <row r="274" spans="1:17" hidden="1" x14ac:dyDescent="0.3">
      <c r="A274" s="105">
        <v>43320</v>
      </c>
      <c r="B274" s="15" t="s">
        <v>932</v>
      </c>
      <c r="C274" s="8" t="s">
        <v>934</v>
      </c>
      <c r="D274" s="2">
        <f>+'FIBRA DIETARIA KIT'!H95</f>
        <v>0.57390000000000185</v>
      </c>
      <c r="E274" s="2">
        <v>58.362000000000002</v>
      </c>
      <c r="F274" s="3">
        <f t="shared" si="15"/>
        <v>14.247283847360121</v>
      </c>
      <c r="G274" s="3">
        <v>6.25</v>
      </c>
      <c r="H274" s="2">
        <v>0</v>
      </c>
      <c r="I274" s="63">
        <f t="shared" si="16"/>
        <v>89.04552404600075</v>
      </c>
      <c r="J274" s="2" t="s">
        <v>10</v>
      </c>
      <c r="K274" s="2" t="s">
        <v>10</v>
      </c>
      <c r="L274" s="2" t="s">
        <v>10</v>
      </c>
      <c r="M274" s="3" t="s">
        <v>14</v>
      </c>
      <c r="N274" s="3" t="s">
        <v>15</v>
      </c>
      <c r="O274" s="202" t="s">
        <v>10</v>
      </c>
      <c r="P274" s="202"/>
      <c r="Q274" s="202"/>
    </row>
    <row r="275" spans="1:17" hidden="1" x14ac:dyDescent="0.3">
      <c r="A275" s="49">
        <v>43320</v>
      </c>
      <c r="B275" s="15" t="s">
        <v>937</v>
      </c>
      <c r="C275" s="2" t="s">
        <v>935</v>
      </c>
      <c r="D275" s="2">
        <f>+'FIBRA DIETARIA KIT'!H97</f>
        <v>0.39330000000000354</v>
      </c>
      <c r="E275" s="2">
        <v>3.92</v>
      </c>
      <c r="F275" s="3">
        <f t="shared" si="15"/>
        <v>1.3963691838291257</v>
      </c>
      <c r="G275" s="3">
        <v>7.25</v>
      </c>
      <c r="H275" s="2">
        <v>0</v>
      </c>
      <c r="I275" s="63">
        <f t="shared" si="16"/>
        <v>10.123676582761162</v>
      </c>
      <c r="J275" s="2" t="s">
        <v>10</v>
      </c>
      <c r="K275" s="2" t="s">
        <v>10</v>
      </c>
      <c r="L275" s="2" t="s">
        <v>10</v>
      </c>
      <c r="M275" s="3" t="s">
        <v>14</v>
      </c>
      <c r="N275" s="3" t="s">
        <v>15</v>
      </c>
      <c r="O275" s="202" t="s">
        <v>10</v>
      </c>
      <c r="P275" s="202"/>
      <c r="Q275" s="202"/>
    </row>
    <row r="276" spans="1:17" hidden="1" x14ac:dyDescent="0.3">
      <c r="A276" s="49">
        <v>43320</v>
      </c>
      <c r="B276" s="15" t="s">
        <v>937</v>
      </c>
      <c r="C276" s="2" t="s">
        <v>936</v>
      </c>
      <c r="D276" s="2">
        <f>+'FIBRA DIETARIA KIT'!H99</f>
        <v>0.12430000000000518</v>
      </c>
      <c r="E276" s="2">
        <v>0.108</v>
      </c>
      <c r="F276" s="3">
        <f t="shared" si="15"/>
        <v>0.12172807723249693</v>
      </c>
      <c r="G276" s="3">
        <v>7.25</v>
      </c>
      <c r="H276" s="2">
        <v>0</v>
      </c>
      <c r="I276" s="63">
        <f t="shared" si="16"/>
        <v>0.88252855993560275</v>
      </c>
      <c r="J276" s="2" t="s">
        <v>10</v>
      </c>
      <c r="K276" s="2" t="s">
        <v>10</v>
      </c>
      <c r="L276" s="2" t="s">
        <v>10</v>
      </c>
      <c r="M276" s="3" t="s">
        <v>14</v>
      </c>
      <c r="N276" s="3" t="s">
        <v>15</v>
      </c>
      <c r="O276" s="202" t="s">
        <v>10</v>
      </c>
      <c r="P276" s="202"/>
      <c r="Q276" s="202"/>
    </row>
    <row r="277" spans="1:17" hidden="1" x14ac:dyDescent="0.3">
      <c r="A277" s="49">
        <v>43315</v>
      </c>
      <c r="B277" s="3" t="s">
        <v>938</v>
      </c>
      <c r="C277" s="2" t="s">
        <v>939</v>
      </c>
      <c r="D277" s="2">
        <v>1.0002</v>
      </c>
      <c r="E277" s="2">
        <v>40.491999999999997</v>
      </c>
      <c r="F277" s="3">
        <f t="shared" si="15"/>
        <v>5.6717948410317947</v>
      </c>
      <c r="G277" s="3">
        <v>6.38</v>
      </c>
      <c r="H277" s="2">
        <v>0</v>
      </c>
      <c r="I277" s="63">
        <f t="shared" si="16"/>
        <v>36.18605108578285</v>
      </c>
      <c r="J277" s="2" t="s">
        <v>10</v>
      </c>
      <c r="K277" s="2" t="s">
        <v>10</v>
      </c>
      <c r="L277" s="2" t="s">
        <v>10</v>
      </c>
      <c r="M277" s="3" t="s">
        <v>14</v>
      </c>
      <c r="N277" s="3" t="s">
        <v>15</v>
      </c>
      <c r="O277" s="202" t="s">
        <v>10</v>
      </c>
      <c r="P277" s="202"/>
      <c r="Q277" s="202"/>
    </row>
    <row r="278" spans="1:17" hidden="1" x14ac:dyDescent="0.3">
      <c r="A278" s="49">
        <v>43315</v>
      </c>
      <c r="B278" s="3" t="s">
        <v>941</v>
      </c>
      <c r="C278" s="2" t="s">
        <v>940</v>
      </c>
      <c r="D278" s="2">
        <v>1.0005999999999999</v>
      </c>
      <c r="E278" s="2">
        <v>24.274000000000001</v>
      </c>
      <c r="F278" s="3">
        <f t="shared" si="15"/>
        <v>3.3987481511093351</v>
      </c>
      <c r="G278" s="3">
        <v>6.25</v>
      </c>
      <c r="H278" s="2">
        <v>0</v>
      </c>
      <c r="I278" s="63">
        <f t="shared" si="16"/>
        <v>21.242175944433345</v>
      </c>
      <c r="J278" s="2" t="s">
        <v>10</v>
      </c>
      <c r="K278" s="2" t="s">
        <v>10</v>
      </c>
      <c r="L278" s="2" t="s">
        <v>10</v>
      </c>
      <c r="M278" s="3" t="s">
        <v>14</v>
      </c>
      <c r="N278" s="3" t="s">
        <v>15</v>
      </c>
      <c r="O278" s="202" t="s">
        <v>10</v>
      </c>
      <c r="P278" s="202"/>
      <c r="Q278" s="202"/>
    </row>
    <row r="279" spans="1:17" hidden="1" x14ac:dyDescent="0.3">
      <c r="A279" s="49">
        <v>43315</v>
      </c>
      <c r="B279" s="3" t="s">
        <v>942</v>
      </c>
      <c r="C279" s="2" t="s">
        <v>943</v>
      </c>
      <c r="D279" s="2">
        <v>1.0007999999999999</v>
      </c>
      <c r="E279" s="2">
        <v>24.866</v>
      </c>
      <c r="F279" s="3">
        <f t="shared" si="15"/>
        <v>3.4809418465227822</v>
      </c>
      <c r="G279" s="3">
        <v>6.25</v>
      </c>
      <c r="H279" s="2">
        <v>0</v>
      </c>
      <c r="I279" s="63">
        <f t="shared" si="16"/>
        <v>21.755886540767388</v>
      </c>
      <c r="J279" s="2" t="s">
        <v>10</v>
      </c>
      <c r="K279" s="2" t="s">
        <v>10</v>
      </c>
      <c r="L279" s="2" t="s">
        <v>10</v>
      </c>
      <c r="M279" s="3" t="s">
        <v>14</v>
      </c>
      <c r="N279" s="3" t="s">
        <v>15</v>
      </c>
      <c r="O279" s="202" t="s">
        <v>10</v>
      </c>
      <c r="P279" s="202"/>
      <c r="Q279" s="202"/>
    </row>
    <row r="280" spans="1:17" hidden="1" x14ac:dyDescent="0.3">
      <c r="A280" s="49">
        <v>43320</v>
      </c>
      <c r="B280" s="3" t="s">
        <v>944</v>
      </c>
      <c r="C280" s="2" t="s">
        <v>945</v>
      </c>
      <c r="D280" s="2">
        <v>1.0003</v>
      </c>
      <c r="E280" s="2">
        <v>3.82</v>
      </c>
      <c r="F280" s="3">
        <f t="shared" si="15"/>
        <v>0.5350214935519344</v>
      </c>
      <c r="G280" s="3">
        <v>6.25</v>
      </c>
      <c r="H280" s="2">
        <v>0</v>
      </c>
      <c r="I280" s="63">
        <f t="shared" si="16"/>
        <v>3.3438843346995899</v>
      </c>
      <c r="J280" s="2" t="s">
        <v>10</v>
      </c>
      <c r="K280" s="2" t="s">
        <v>10</v>
      </c>
      <c r="L280" s="2" t="s">
        <v>10</v>
      </c>
      <c r="M280" s="3" t="s">
        <v>14</v>
      </c>
      <c r="N280" s="3" t="s">
        <v>15</v>
      </c>
      <c r="O280" s="202" t="s">
        <v>10</v>
      </c>
      <c r="P280" s="202"/>
      <c r="Q280" s="202"/>
    </row>
    <row r="281" spans="1:17" hidden="1" x14ac:dyDescent="0.3">
      <c r="A281" s="49">
        <v>43315</v>
      </c>
      <c r="B281" s="3" t="s">
        <v>816</v>
      </c>
      <c r="C281" s="2" t="s">
        <v>815</v>
      </c>
      <c r="D281" s="2">
        <v>1.0003</v>
      </c>
      <c r="E281" s="2">
        <v>5.5359999999999996</v>
      </c>
      <c r="F281" s="3">
        <f t="shared" si="15"/>
        <v>0.77536099170248918</v>
      </c>
      <c r="G281" s="3">
        <v>6.25</v>
      </c>
      <c r="H281" s="2">
        <v>0</v>
      </c>
      <c r="I281" s="63">
        <f t="shared" si="16"/>
        <v>4.8460061981405573</v>
      </c>
      <c r="J281" s="2" t="s">
        <v>10</v>
      </c>
      <c r="K281" s="2" t="s">
        <v>10</v>
      </c>
      <c r="L281" s="2" t="s">
        <v>10</v>
      </c>
      <c r="M281" s="3" t="s">
        <v>14</v>
      </c>
      <c r="N281" s="3" t="s">
        <v>15</v>
      </c>
      <c r="O281" s="202" t="s">
        <v>10</v>
      </c>
      <c r="P281" s="202"/>
      <c r="Q281" s="202"/>
    </row>
    <row r="282" spans="1:17" hidden="1" x14ac:dyDescent="0.3">
      <c r="A282" s="49">
        <v>43320</v>
      </c>
      <c r="B282" s="3" t="s">
        <v>948</v>
      </c>
      <c r="C282" s="2" t="s">
        <v>949</v>
      </c>
      <c r="D282" s="2">
        <v>1.0003</v>
      </c>
      <c r="E282" s="2">
        <v>0.23599999999999999</v>
      </c>
      <c r="F282" s="3">
        <f t="shared" si="15"/>
        <v>3.305368389483155E-2</v>
      </c>
      <c r="G282" s="3">
        <v>6.25</v>
      </c>
      <c r="H282" s="2">
        <v>0</v>
      </c>
      <c r="I282" s="63">
        <f t="shared" si="16"/>
        <v>0.2065855243426972</v>
      </c>
      <c r="J282" s="2" t="s">
        <v>10</v>
      </c>
      <c r="K282" s="2" t="s">
        <v>10</v>
      </c>
      <c r="L282" s="2" t="s">
        <v>10</v>
      </c>
      <c r="M282" s="3" t="s">
        <v>14</v>
      </c>
      <c r="N282" s="3" t="s">
        <v>15</v>
      </c>
      <c r="O282" s="202" t="s">
        <v>10</v>
      </c>
      <c r="P282" s="202"/>
      <c r="Q282" s="202"/>
    </row>
    <row r="283" spans="1:17" hidden="1" x14ac:dyDescent="0.3">
      <c r="A283" s="49">
        <v>43320</v>
      </c>
      <c r="B283" s="3" t="s">
        <v>947</v>
      </c>
      <c r="C283" s="2" t="s">
        <v>946</v>
      </c>
      <c r="D283" s="2">
        <v>1.0003</v>
      </c>
      <c r="E283" s="2">
        <v>0.224</v>
      </c>
      <c r="F283" s="3">
        <f t="shared" si="15"/>
        <v>3.1372988103568936E-2</v>
      </c>
      <c r="G283" s="3">
        <v>6.25</v>
      </c>
      <c r="H283" s="2">
        <v>0</v>
      </c>
      <c r="I283" s="63">
        <f t="shared" si="16"/>
        <v>0.19608117564730584</v>
      </c>
      <c r="J283" s="2" t="s">
        <v>10</v>
      </c>
      <c r="K283" s="2" t="s">
        <v>10</v>
      </c>
      <c r="L283" s="2" t="s">
        <v>10</v>
      </c>
      <c r="M283" s="3" t="s">
        <v>14</v>
      </c>
      <c r="N283" s="3" t="s">
        <v>15</v>
      </c>
      <c r="O283" s="202" t="s">
        <v>10</v>
      </c>
      <c r="P283" s="202"/>
      <c r="Q283" s="202"/>
    </row>
    <row r="284" spans="1:17" hidden="1" x14ac:dyDescent="0.3">
      <c r="A284" s="49">
        <v>43320</v>
      </c>
      <c r="B284" s="3" t="s">
        <v>950</v>
      </c>
      <c r="C284" s="2" t="s">
        <v>951</v>
      </c>
      <c r="D284" s="2">
        <v>1.0004999999999999</v>
      </c>
      <c r="E284" s="2">
        <v>8.3759999999999994</v>
      </c>
      <c r="F284" s="3">
        <f t="shared" si="15"/>
        <v>1.1728911544227887</v>
      </c>
      <c r="G284" s="3">
        <v>6.25</v>
      </c>
      <c r="H284" s="2">
        <v>0</v>
      </c>
      <c r="I284" s="63">
        <f t="shared" si="16"/>
        <v>7.3305697151424294</v>
      </c>
      <c r="J284" s="2" t="s">
        <v>10</v>
      </c>
      <c r="K284" s="2" t="s">
        <v>10</v>
      </c>
      <c r="L284" s="2" t="s">
        <v>10</v>
      </c>
      <c r="M284" s="3" t="s">
        <v>14</v>
      </c>
      <c r="N284" s="3" t="s">
        <v>15</v>
      </c>
      <c r="O284" s="202" t="s">
        <v>10</v>
      </c>
      <c r="P284" s="202"/>
      <c r="Q284" s="202"/>
    </row>
    <row r="285" spans="1:17" hidden="1" x14ac:dyDescent="0.3">
      <c r="A285" s="49">
        <v>43320</v>
      </c>
      <c r="B285" s="3" t="s">
        <v>953</v>
      </c>
      <c r="C285" s="2" t="s">
        <v>952</v>
      </c>
      <c r="D285" s="2">
        <v>1.0006999999999999</v>
      </c>
      <c r="E285" s="2">
        <v>22.2</v>
      </c>
      <c r="F285" s="3">
        <f t="shared" si="15"/>
        <v>3.1080443689417412</v>
      </c>
      <c r="G285" s="3">
        <v>6.25</v>
      </c>
      <c r="H285" s="2">
        <v>0</v>
      </c>
      <c r="I285" s="63">
        <f t="shared" si="16"/>
        <v>19.425277305885881</v>
      </c>
      <c r="J285" s="2" t="s">
        <v>10</v>
      </c>
      <c r="K285" s="2" t="s">
        <v>10</v>
      </c>
      <c r="L285" s="2" t="s">
        <v>10</v>
      </c>
      <c r="M285" s="3" t="s">
        <v>14</v>
      </c>
      <c r="N285" s="3" t="s">
        <v>15</v>
      </c>
      <c r="O285" s="202" t="s">
        <v>10</v>
      </c>
      <c r="P285" s="202"/>
      <c r="Q285" s="202"/>
    </row>
    <row r="286" spans="1:17" hidden="1" x14ac:dyDescent="0.3">
      <c r="A286" s="49">
        <v>43320</v>
      </c>
      <c r="B286" s="3" t="s">
        <v>954</v>
      </c>
      <c r="C286" s="2" t="s">
        <v>955</v>
      </c>
      <c r="D286" s="2">
        <v>1.0003</v>
      </c>
      <c r="E286" s="2">
        <v>20.474</v>
      </c>
      <c r="F286" s="3">
        <f t="shared" si="15"/>
        <v>2.8675471358592426</v>
      </c>
      <c r="G286" s="3">
        <v>6.25</v>
      </c>
      <c r="H286" s="2">
        <v>0</v>
      </c>
      <c r="I286" s="63">
        <f t="shared" si="16"/>
        <v>17.922169599120267</v>
      </c>
      <c r="J286" s="2" t="s">
        <v>10</v>
      </c>
      <c r="K286" s="2" t="s">
        <v>10</v>
      </c>
      <c r="L286" s="2" t="s">
        <v>10</v>
      </c>
      <c r="M286" s="3" t="s">
        <v>14</v>
      </c>
      <c r="N286" s="3" t="s">
        <v>15</v>
      </c>
      <c r="O286" s="202" t="s">
        <v>10</v>
      </c>
      <c r="P286" s="202"/>
      <c r="Q286" s="202"/>
    </row>
    <row r="287" spans="1:17" hidden="1" x14ac:dyDescent="0.3">
      <c r="A287" s="49">
        <v>43326</v>
      </c>
      <c r="B287" s="3" t="s">
        <v>958</v>
      </c>
      <c r="C287" s="2" t="s">
        <v>957</v>
      </c>
      <c r="D287" s="107">
        <v>1.0007999999999999</v>
      </c>
      <c r="E287" s="44">
        <v>0.32</v>
      </c>
      <c r="F287" s="14">
        <f t="shared" si="15"/>
        <v>4.479616306954437E-2</v>
      </c>
      <c r="G287" s="3">
        <v>6.25</v>
      </c>
      <c r="H287" s="2">
        <v>0</v>
      </c>
      <c r="I287" s="63">
        <f t="shared" ref="I287:I318" si="17">+F287*G287</f>
        <v>0.27997601918465231</v>
      </c>
      <c r="J287" s="2" t="s">
        <v>10</v>
      </c>
      <c r="K287" s="2" t="s">
        <v>10</v>
      </c>
      <c r="L287" s="2" t="s">
        <v>10</v>
      </c>
      <c r="M287" s="3" t="s">
        <v>14</v>
      </c>
      <c r="N287" s="3" t="s">
        <v>15</v>
      </c>
      <c r="O287" s="202" t="s">
        <v>10</v>
      </c>
      <c r="P287" s="202"/>
      <c r="Q287" s="202"/>
    </row>
    <row r="288" spans="1:17" hidden="1" x14ac:dyDescent="0.3">
      <c r="A288" s="49">
        <v>43326</v>
      </c>
      <c r="B288" s="3" t="s">
        <v>958</v>
      </c>
      <c r="C288" s="2" t="s">
        <v>959</v>
      </c>
      <c r="D288" s="107">
        <v>1.0005999999999999</v>
      </c>
      <c r="E288" s="44">
        <v>4.1239999999999997</v>
      </c>
      <c r="F288" s="14">
        <f>+E288*0.1*1.401*100/(D288*10)</f>
        <v>5.7742594443334001</v>
      </c>
      <c r="G288" s="3">
        <v>6.25</v>
      </c>
      <c r="H288" s="2">
        <v>0</v>
      </c>
      <c r="I288" s="63">
        <f t="shared" si="17"/>
        <v>36.089121527083748</v>
      </c>
      <c r="J288" s="2" t="s">
        <v>10</v>
      </c>
      <c r="K288" s="2" t="s">
        <v>10</v>
      </c>
      <c r="L288" s="2" t="s">
        <v>10</v>
      </c>
      <c r="M288" s="3" t="s">
        <v>14</v>
      </c>
      <c r="N288" s="3" t="s">
        <v>15</v>
      </c>
      <c r="O288" s="202" t="s">
        <v>529</v>
      </c>
      <c r="P288" s="202"/>
      <c r="Q288" s="202"/>
    </row>
    <row r="289" spans="1:17" hidden="1" x14ac:dyDescent="0.3">
      <c r="A289" s="49">
        <v>43326</v>
      </c>
      <c r="B289" s="3" t="s">
        <v>958</v>
      </c>
      <c r="C289" s="36" t="s">
        <v>959</v>
      </c>
      <c r="D289" s="107">
        <v>1.0003</v>
      </c>
      <c r="E289" s="44">
        <v>53.6</v>
      </c>
      <c r="F289" s="14">
        <f t="shared" si="15"/>
        <v>7.5071078676397089</v>
      </c>
      <c r="G289" s="57">
        <v>6.25</v>
      </c>
      <c r="H289" s="2">
        <v>0</v>
      </c>
      <c r="I289" s="80">
        <f t="shared" si="17"/>
        <v>46.91942417274818</v>
      </c>
      <c r="J289" s="2" t="s">
        <v>10</v>
      </c>
      <c r="K289" s="2" t="s">
        <v>10</v>
      </c>
      <c r="L289" s="2" t="s">
        <v>10</v>
      </c>
      <c r="M289" s="3" t="s">
        <v>14</v>
      </c>
      <c r="N289" s="3" t="s">
        <v>15</v>
      </c>
      <c r="O289" s="202" t="s">
        <v>10</v>
      </c>
      <c r="P289" s="202"/>
      <c r="Q289" s="202"/>
    </row>
    <row r="290" spans="1:17" hidden="1" x14ac:dyDescent="0.3">
      <c r="A290" s="49">
        <v>43326</v>
      </c>
      <c r="B290" s="3" t="s">
        <v>960</v>
      </c>
      <c r="C290" s="2" t="s">
        <v>961</v>
      </c>
      <c r="D290" s="2">
        <v>1.0008999999999999</v>
      </c>
      <c r="E290" s="2">
        <v>75.42</v>
      </c>
      <c r="F290" s="3">
        <f t="shared" si="15"/>
        <v>10.556840843241085</v>
      </c>
      <c r="G290" s="3">
        <v>6.25</v>
      </c>
      <c r="H290" s="2">
        <v>0</v>
      </c>
      <c r="I290" s="63">
        <f t="shared" si="17"/>
        <v>65.980255270256777</v>
      </c>
      <c r="J290" s="2" t="s">
        <v>10</v>
      </c>
      <c r="K290" s="2" t="s">
        <v>10</v>
      </c>
      <c r="L290" s="2" t="s">
        <v>10</v>
      </c>
      <c r="M290" s="3" t="s">
        <v>14</v>
      </c>
      <c r="N290" s="3" t="s">
        <v>15</v>
      </c>
      <c r="O290" s="202" t="s">
        <v>10</v>
      </c>
      <c r="P290" s="202"/>
      <c r="Q290" s="202"/>
    </row>
    <row r="291" spans="1:17" hidden="1" x14ac:dyDescent="0.3">
      <c r="A291" s="31">
        <v>43333</v>
      </c>
      <c r="B291" s="15" t="s">
        <v>960</v>
      </c>
      <c r="C291" s="2" t="s">
        <v>962</v>
      </c>
      <c r="D291" s="2">
        <f>+'FIBRA DIETARIA KIT'!H101</f>
        <v>7.6100000000003831E-2</v>
      </c>
      <c r="E291" s="2">
        <v>0.252</v>
      </c>
      <c r="F291" s="3">
        <f t="shared" si="15"/>
        <v>0.46393166885674403</v>
      </c>
      <c r="G291" s="3">
        <v>6.25</v>
      </c>
      <c r="H291" s="2">
        <v>0</v>
      </c>
      <c r="I291" s="63">
        <f t="shared" si="17"/>
        <v>2.8995729303546502</v>
      </c>
      <c r="J291" s="2" t="s">
        <v>10</v>
      </c>
      <c r="K291" s="2" t="s">
        <v>10</v>
      </c>
      <c r="L291" s="2" t="s">
        <v>10</v>
      </c>
      <c r="M291" s="3" t="s">
        <v>14</v>
      </c>
      <c r="N291" s="3" t="s">
        <v>15</v>
      </c>
      <c r="O291" s="202" t="s">
        <v>10</v>
      </c>
      <c r="P291" s="202"/>
      <c r="Q291" s="202"/>
    </row>
    <row r="292" spans="1:17" hidden="1" x14ac:dyDescent="0.3">
      <c r="A292" s="31">
        <v>43334</v>
      </c>
      <c r="B292" s="3" t="s">
        <v>964</v>
      </c>
      <c r="C292" s="2" t="s">
        <v>965</v>
      </c>
      <c r="D292" s="2">
        <v>1.0004</v>
      </c>
      <c r="E292" s="2">
        <v>14.635999999999999</v>
      </c>
      <c r="F292" s="3">
        <f t="shared" si="15"/>
        <v>2.0496837265093966</v>
      </c>
      <c r="G292" s="3">
        <v>6.38</v>
      </c>
      <c r="H292" s="2">
        <v>0</v>
      </c>
      <c r="I292" s="63">
        <f t="shared" si="17"/>
        <v>13.076982175129951</v>
      </c>
      <c r="J292" s="2" t="s">
        <v>10</v>
      </c>
      <c r="K292" s="2" t="s">
        <v>10</v>
      </c>
      <c r="L292" s="2" t="s">
        <v>10</v>
      </c>
      <c r="M292" s="3" t="s">
        <v>14</v>
      </c>
      <c r="N292" s="3" t="s">
        <v>15</v>
      </c>
      <c r="O292" s="202" t="s">
        <v>10</v>
      </c>
      <c r="P292" s="202"/>
      <c r="Q292" s="202"/>
    </row>
    <row r="293" spans="1:17" hidden="1" x14ac:dyDescent="0.3">
      <c r="A293" s="31">
        <v>43334</v>
      </c>
      <c r="B293" s="3" t="s">
        <v>963</v>
      </c>
      <c r="C293" s="2" t="s">
        <v>966</v>
      </c>
      <c r="D293" s="2">
        <v>1.0008999999999999</v>
      </c>
      <c r="E293" s="2">
        <v>13.782</v>
      </c>
      <c r="F293" s="3">
        <f t="shared" si="15"/>
        <v>1.9291219902088124</v>
      </c>
      <c r="G293" s="3">
        <v>6.38</v>
      </c>
      <c r="H293" s="2">
        <v>0</v>
      </c>
      <c r="I293" s="63">
        <f t="shared" si="17"/>
        <v>12.307798297532223</v>
      </c>
      <c r="J293" s="2" t="s">
        <v>10</v>
      </c>
      <c r="K293" s="2" t="s">
        <v>10</v>
      </c>
      <c r="L293" s="2" t="s">
        <v>10</v>
      </c>
      <c r="M293" s="3" t="s">
        <v>14</v>
      </c>
      <c r="N293" s="3" t="s">
        <v>15</v>
      </c>
      <c r="O293" s="202" t="s">
        <v>10</v>
      </c>
      <c r="P293" s="202"/>
      <c r="Q293" s="202"/>
    </row>
    <row r="294" spans="1:17" hidden="1" x14ac:dyDescent="0.3">
      <c r="A294" s="31">
        <v>43334</v>
      </c>
      <c r="B294" s="3" t="s">
        <v>970</v>
      </c>
      <c r="C294" s="2" t="s">
        <v>967</v>
      </c>
      <c r="D294" s="2">
        <v>1.0008999999999999</v>
      </c>
      <c r="E294" s="2">
        <v>13.302</v>
      </c>
      <c r="F294" s="3">
        <f t="shared" si="15"/>
        <v>1.8619344589869122</v>
      </c>
      <c r="G294" s="3">
        <v>6.38</v>
      </c>
      <c r="H294" s="2">
        <v>0</v>
      </c>
      <c r="I294" s="63">
        <f t="shared" si="17"/>
        <v>11.8791418483365</v>
      </c>
      <c r="J294" s="2" t="s">
        <v>10</v>
      </c>
      <c r="K294" s="2" t="s">
        <v>10</v>
      </c>
      <c r="L294" s="2" t="s">
        <v>10</v>
      </c>
      <c r="M294" s="3" t="s">
        <v>14</v>
      </c>
      <c r="N294" s="3" t="s">
        <v>15</v>
      </c>
      <c r="O294" s="202" t="s">
        <v>10</v>
      </c>
      <c r="P294" s="202"/>
      <c r="Q294" s="202"/>
    </row>
    <row r="295" spans="1:17" hidden="1" x14ac:dyDescent="0.3">
      <c r="A295" s="31">
        <v>43334</v>
      </c>
      <c r="B295" s="3" t="s">
        <v>971</v>
      </c>
      <c r="C295" s="2" t="s">
        <v>968</v>
      </c>
      <c r="D295" s="2">
        <v>1.0004</v>
      </c>
      <c r="E295" s="2">
        <v>13.448</v>
      </c>
      <c r="F295" s="3">
        <f t="shared" si="15"/>
        <v>1.8833114754098363</v>
      </c>
      <c r="G295" s="3">
        <v>6.38</v>
      </c>
      <c r="H295" s="2">
        <v>0</v>
      </c>
      <c r="I295" s="63">
        <f t="shared" si="17"/>
        <v>12.015527213114755</v>
      </c>
      <c r="J295" s="2" t="s">
        <v>10</v>
      </c>
      <c r="K295" s="2" t="s">
        <v>10</v>
      </c>
      <c r="L295" s="2" t="s">
        <v>10</v>
      </c>
      <c r="M295" s="3" t="s">
        <v>14</v>
      </c>
      <c r="N295" s="3" t="s">
        <v>15</v>
      </c>
      <c r="O295" s="202" t="s">
        <v>10</v>
      </c>
      <c r="P295" s="202"/>
      <c r="Q295" s="202"/>
    </row>
    <row r="296" spans="1:17" hidden="1" x14ac:dyDescent="0.3">
      <c r="A296" s="31">
        <v>43334</v>
      </c>
      <c r="B296" s="3" t="s">
        <v>972</v>
      </c>
      <c r="C296" s="2" t="s">
        <v>969</v>
      </c>
      <c r="D296" s="2">
        <v>1.0004999999999999</v>
      </c>
      <c r="E296" s="2">
        <v>13.496</v>
      </c>
      <c r="F296" s="3">
        <f t="shared" si="15"/>
        <v>1.8898446776611697</v>
      </c>
      <c r="G296" s="3">
        <v>6.38</v>
      </c>
      <c r="H296" s="2">
        <v>0</v>
      </c>
      <c r="I296" s="63">
        <f t="shared" si="17"/>
        <v>12.057209043478263</v>
      </c>
      <c r="J296" s="2" t="s">
        <v>10</v>
      </c>
      <c r="K296" s="2" t="s">
        <v>10</v>
      </c>
      <c r="L296" s="2" t="s">
        <v>10</v>
      </c>
      <c r="M296" s="3" t="s">
        <v>14</v>
      </c>
      <c r="N296" s="3" t="s">
        <v>15</v>
      </c>
      <c r="O296" s="202" t="s">
        <v>10</v>
      </c>
      <c r="P296" s="202"/>
      <c r="Q296" s="202"/>
    </row>
    <row r="297" spans="1:17" hidden="1" x14ac:dyDescent="0.3">
      <c r="A297" s="31">
        <v>43326</v>
      </c>
      <c r="B297" s="3" t="s">
        <v>985</v>
      </c>
      <c r="C297" s="2" t="s">
        <v>979</v>
      </c>
      <c r="D297" s="2">
        <v>1.0008999999999999</v>
      </c>
      <c r="E297" s="2">
        <v>16.888000000000002</v>
      </c>
      <c r="F297" s="3">
        <f t="shared" si="15"/>
        <v>2.3638813068238593</v>
      </c>
      <c r="G297" s="3">
        <v>6.25</v>
      </c>
      <c r="H297" s="2">
        <v>0</v>
      </c>
      <c r="I297" s="63">
        <f t="shared" si="17"/>
        <v>14.774258167649121</v>
      </c>
      <c r="J297" s="2" t="s">
        <v>10</v>
      </c>
      <c r="K297" s="2" t="s">
        <v>10</v>
      </c>
      <c r="L297" s="2" t="s">
        <v>10</v>
      </c>
      <c r="M297" s="3" t="s">
        <v>14</v>
      </c>
      <c r="N297" s="3" t="s">
        <v>15</v>
      </c>
      <c r="O297" s="202" t="s">
        <v>10</v>
      </c>
      <c r="P297" s="202"/>
      <c r="Q297" s="202"/>
    </row>
    <row r="298" spans="1:17" hidden="1" x14ac:dyDescent="0.3">
      <c r="A298" s="31">
        <v>43326</v>
      </c>
      <c r="B298" s="3" t="s">
        <v>986</v>
      </c>
      <c r="C298" s="2" t="s">
        <v>980</v>
      </c>
      <c r="D298" s="2">
        <v>1.0001</v>
      </c>
      <c r="E298" s="2">
        <v>13.368</v>
      </c>
      <c r="F298" s="3">
        <f t="shared" si="15"/>
        <v>1.8726695330466958</v>
      </c>
      <c r="G298" s="3">
        <v>6.25</v>
      </c>
      <c r="H298" s="2">
        <v>0</v>
      </c>
      <c r="I298" s="63">
        <f t="shared" si="17"/>
        <v>11.704184581541849</v>
      </c>
      <c r="J298" s="2" t="s">
        <v>10</v>
      </c>
      <c r="K298" s="2" t="s">
        <v>10</v>
      </c>
      <c r="L298" s="2" t="s">
        <v>10</v>
      </c>
      <c r="M298" s="3" t="s">
        <v>14</v>
      </c>
      <c r="N298" s="3" t="s">
        <v>15</v>
      </c>
      <c r="O298" s="202" t="s">
        <v>10</v>
      </c>
      <c r="P298" s="202"/>
      <c r="Q298" s="202"/>
    </row>
    <row r="299" spans="1:17" hidden="1" x14ac:dyDescent="0.3">
      <c r="A299" s="31">
        <v>43326</v>
      </c>
      <c r="B299" s="3" t="s">
        <v>987</v>
      </c>
      <c r="C299" s="2" t="s">
        <v>981</v>
      </c>
      <c r="D299" s="2">
        <v>1</v>
      </c>
      <c r="E299" s="2">
        <v>12.53</v>
      </c>
      <c r="F299" s="3">
        <f t="shared" si="15"/>
        <v>1.7554529999999999</v>
      </c>
      <c r="G299" s="3">
        <v>6.25</v>
      </c>
      <c r="H299" s="2">
        <v>0</v>
      </c>
      <c r="I299" s="63">
        <f t="shared" si="17"/>
        <v>10.97158125</v>
      </c>
      <c r="J299" s="2" t="s">
        <v>10</v>
      </c>
      <c r="K299" s="2" t="s">
        <v>10</v>
      </c>
      <c r="L299" s="2" t="s">
        <v>10</v>
      </c>
      <c r="M299" s="3" t="s">
        <v>14</v>
      </c>
      <c r="N299" s="3" t="s">
        <v>15</v>
      </c>
      <c r="O299" s="202" t="s">
        <v>10</v>
      </c>
      <c r="P299" s="202"/>
      <c r="Q299" s="202"/>
    </row>
    <row r="300" spans="1:17" hidden="1" x14ac:dyDescent="0.3">
      <c r="A300" s="31">
        <v>43333</v>
      </c>
      <c r="B300" s="3" t="s">
        <v>988</v>
      </c>
      <c r="C300" s="2" t="s">
        <v>982</v>
      </c>
      <c r="D300" s="2">
        <v>1.0004</v>
      </c>
      <c r="E300" s="2">
        <v>27.622</v>
      </c>
      <c r="F300" s="3">
        <f t="shared" si="15"/>
        <v>3.8682948820471812</v>
      </c>
      <c r="G300" s="3">
        <v>6.25</v>
      </c>
      <c r="H300" s="2">
        <v>0</v>
      </c>
      <c r="I300" s="63">
        <f t="shared" si="17"/>
        <v>24.176843012794883</v>
      </c>
      <c r="J300" s="2" t="s">
        <v>10</v>
      </c>
      <c r="K300" s="2" t="s">
        <v>10</v>
      </c>
      <c r="L300" s="2" t="s">
        <v>10</v>
      </c>
      <c r="M300" s="3" t="s">
        <v>14</v>
      </c>
      <c r="N300" s="3" t="s">
        <v>15</v>
      </c>
      <c r="O300" s="202" t="s">
        <v>10</v>
      </c>
      <c r="P300" s="202"/>
      <c r="Q300" s="202"/>
    </row>
    <row r="301" spans="1:17" hidden="1" x14ac:dyDescent="0.3">
      <c r="A301" s="31">
        <v>43333</v>
      </c>
      <c r="B301" s="3" t="s">
        <v>989</v>
      </c>
      <c r="C301" s="2" t="s">
        <v>983</v>
      </c>
      <c r="D301" s="2">
        <v>1.0003</v>
      </c>
      <c r="E301" s="2">
        <v>21.396000000000001</v>
      </c>
      <c r="F301" s="3">
        <f t="shared" si="15"/>
        <v>2.9966805958212537</v>
      </c>
      <c r="G301" s="3">
        <v>6.25</v>
      </c>
      <c r="H301" s="2">
        <v>0</v>
      </c>
      <c r="I301" s="63">
        <f t="shared" si="17"/>
        <v>18.729253723882834</v>
      </c>
      <c r="J301" s="2" t="s">
        <v>10</v>
      </c>
      <c r="K301" s="2" t="s">
        <v>10</v>
      </c>
      <c r="L301" s="2" t="s">
        <v>10</v>
      </c>
      <c r="M301" s="3" t="s">
        <v>14</v>
      </c>
      <c r="N301" s="3" t="s">
        <v>15</v>
      </c>
      <c r="O301" s="202" t="s">
        <v>10</v>
      </c>
      <c r="P301" s="202"/>
      <c r="Q301" s="202"/>
    </row>
    <row r="302" spans="1:17" hidden="1" x14ac:dyDescent="0.3">
      <c r="A302" s="31">
        <v>43333</v>
      </c>
      <c r="B302" s="3" t="s">
        <v>989</v>
      </c>
      <c r="C302" s="2" t="s">
        <v>984</v>
      </c>
      <c r="D302" s="2">
        <v>1.0008999999999999</v>
      </c>
      <c r="E302" s="2">
        <v>24.11</v>
      </c>
      <c r="F302" s="3">
        <f t="shared" si="15"/>
        <v>3.3747737036667003</v>
      </c>
      <c r="G302" s="3">
        <v>6.25</v>
      </c>
      <c r="H302" s="2">
        <v>0</v>
      </c>
      <c r="I302" s="63">
        <f t="shared" si="17"/>
        <v>21.092335647916876</v>
      </c>
      <c r="J302" s="2" t="s">
        <v>10</v>
      </c>
      <c r="K302" s="2" t="s">
        <v>10</v>
      </c>
      <c r="L302" s="2" t="s">
        <v>10</v>
      </c>
      <c r="M302" s="3" t="s">
        <v>14</v>
      </c>
      <c r="N302" s="3" t="s">
        <v>15</v>
      </c>
      <c r="O302" s="202" t="s">
        <v>10</v>
      </c>
      <c r="P302" s="202"/>
      <c r="Q302" s="202"/>
    </row>
    <row r="303" spans="1:17" hidden="1" x14ac:dyDescent="0.3">
      <c r="A303" s="31">
        <v>43326</v>
      </c>
      <c r="B303" s="3" t="s">
        <v>990</v>
      </c>
      <c r="C303" s="2" t="s">
        <v>991</v>
      </c>
      <c r="D303" s="2">
        <v>1.0006999999999999</v>
      </c>
      <c r="E303" s="2">
        <v>3.32</v>
      </c>
      <c r="F303" s="3">
        <f t="shared" si="15"/>
        <v>0.46480663535525135</v>
      </c>
      <c r="G303" s="3">
        <v>6.25</v>
      </c>
      <c r="H303" s="2">
        <v>0</v>
      </c>
      <c r="I303" s="63">
        <f t="shared" si="17"/>
        <v>2.9050414709703212</v>
      </c>
      <c r="J303" s="2" t="s">
        <v>10</v>
      </c>
      <c r="K303" s="2" t="s">
        <v>10</v>
      </c>
      <c r="L303" s="2" t="s">
        <v>10</v>
      </c>
      <c r="M303" s="3" t="s">
        <v>14</v>
      </c>
      <c r="N303" s="3" t="s">
        <v>15</v>
      </c>
      <c r="O303" s="202" t="s">
        <v>10</v>
      </c>
      <c r="P303" s="202"/>
      <c r="Q303" s="202"/>
    </row>
    <row r="304" spans="1:17" hidden="1" x14ac:dyDescent="0.3">
      <c r="A304" s="31">
        <v>43333</v>
      </c>
      <c r="B304" s="3" t="s">
        <v>974</v>
      </c>
      <c r="C304" s="2" t="s">
        <v>973</v>
      </c>
      <c r="D304" s="2">
        <v>1.0003</v>
      </c>
      <c r="E304" s="2">
        <v>8.3719999999999999</v>
      </c>
      <c r="F304" s="3">
        <f t="shared" si="15"/>
        <v>1.1725654303708888</v>
      </c>
      <c r="G304" s="3">
        <v>6.25</v>
      </c>
      <c r="H304" s="2">
        <v>0</v>
      </c>
      <c r="I304" s="63">
        <f t="shared" si="17"/>
        <v>7.3285339398180547</v>
      </c>
      <c r="J304" s="2" t="s">
        <v>10</v>
      </c>
      <c r="K304" s="2" t="s">
        <v>10</v>
      </c>
      <c r="L304" s="2" t="s">
        <v>10</v>
      </c>
      <c r="M304" s="3" t="s">
        <v>14</v>
      </c>
      <c r="N304" s="3" t="s">
        <v>15</v>
      </c>
      <c r="O304" s="202" t="s">
        <v>10</v>
      </c>
      <c r="P304" s="202"/>
      <c r="Q304" s="202"/>
    </row>
    <row r="305" spans="1:17" hidden="1" x14ac:dyDescent="0.3">
      <c r="A305" s="31">
        <v>43333</v>
      </c>
      <c r="B305" s="3" t="s">
        <v>976</v>
      </c>
      <c r="C305" s="2" t="s">
        <v>975</v>
      </c>
      <c r="D305" s="2">
        <v>1.0004999999999999</v>
      </c>
      <c r="E305" s="2">
        <v>0.248</v>
      </c>
      <c r="F305" s="3">
        <f t="shared" si="15"/>
        <v>3.4727436281859078E-2</v>
      </c>
      <c r="G305" s="3">
        <v>6.25</v>
      </c>
      <c r="H305" s="2">
        <v>0</v>
      </c>
      <c r="I305" s="63">
        <f t="shared" si="17"/>
        <v>0.21704647676161923</v>
      </c>
      <c r="J305" s="2" t="s">
        <v>10</v>
      </c>
      <c r="K305" s="2" t="s">
        <v>10</v>
      </c>
      <c r="L305" s="2" t="s">
        <v>10</v>
      </c>
      <c r="M305" s="3" t="s">
        <v>14</v>
      </c>
      <c r="N305" s="3" t="s">
        <v>15</v>
      </c>
      <c r="O305" s="202" t="s">
        <v>10</v>
      </c>
      <c r="P305" s="202"/>
      <c r="Q305" s="202"/>
    </row>
    <row r="306" spans="1:17" hidden="1" x14ac:dyDescent="0.3">
      <c r="A306" s="31">
        <v>43333</v>
      </c>
      <c r="B306" s="3" t="s">
        <v>978</v>
      </c>
      <c r="C306" s="2" t="s">
        <v>977</v>
      </c>
      <c r="D306" s="2">
        <v>1.0004</v>
      </c>
      <c r="E306" s="2">
        <v>0.27800000000000002</v>
      </c>
      <c r="F306" s="3">
        <f t="shared" si="15"/>
        <v>3.8932227109156343E-2</v>
      </c>
      <c r="G306" s="3">
        <v>6.25</v>
      </c>
      <c r="H306" s="2">
        <v>0</v>
      </c>
      <c r="I306" s="63">
        <f t="shared" si="17"/>
        <v>0.24332641943222716</v>
      </c>
      <c r="J306" s="2" t="s">
        <v>10</v>
      </c>
      <c r="K306" s="2" t="s">
        <v>10</v>
      </c>
      <c r="L306" s="2" t="s">
        <v>10</v>
      </c>
      <c r="M306" s="3" t="s">
        <v>14</v>
      </c>
      <c r="N306" s="3" t="s">
        <v>15</v>
      </c>
      <c r="O306" s="202" t="s">
        <v>10</v>
      </c>
      <c r="P306" s="202"/>
      <c r="Q306" s="202"/>
    </row>
    <row r="307" spans="1:17" hidden="1" x14ac:dyDescent="0.3">
      <c r="A307" s="31">
        <v>43334</v>
      </c>
      <c r="B307" s="15" t="s">
        <v>985</v>
      </c>
      <c r="C307" s="2" t="s">
        <v>995</v>
      </c>
      <c r="D307" s="2">
        <f>+'FIBRA DIETARIA KIT'!H103</f>
        <v>0.1664999999999992</v>
      </c>
      <c r="E307" s="2">
        <v>0.26</v>
      </c>
      <c r="F307" s="3">
        <f t="shared" si="15"/>
        <v>0.21877477477477583</v>
      </c>
      <c r="G307" s="3">
        <v>6.25</v>
      </c>
      <c r="H307" s="2">
        <v>0</v>
      </c>
      <c r="I307" s="63">
        <f t="shared" si="17"/>
        <v>1.367342342342349</v>
      </c>
      <c r="J307" s="2" t="s">
        <v>10</v>
      </c>
      <c r="K307" s="2" t="s">
        <v>10</v>
      </c>
      <c r="L307" s="2" t="s">
        <v>10</v>
      </c>
      <c r="M307" s="3" t="s">
        <v>14</v>
      </c>
      <c r="N307" s="3" t="s">
        <v>15</v>
      </c>
      <c r="O307" s="202" t="s">
        <v>10</v>
      </c>
      <c r="P307" s="202"/>
      <c r="Q307" s="202"/>
    </row>
    <row r="308" spans="1:17" hidden="1" x14ac:dyDescent="0.3">
      <c r="A308" s="31">
        <v>43334</v>
      </c>
      <c r="B308" s="15" t="s">
        <v>993</v>
      </c>
      <c r="C308" s="2" t="s">
        <v>996</v>
      </c>
      <c r="D308" s="2">
        <f>+'FIBRA DIETARIA KIT'!H105</f>
        <v>0.20309999999999917</v>
      </c>
      <c r="E308" s="2">
        <v>0.372</v>
      </c>
      <c r="F308" s="3">
        <f t="shared" ref="F308:F394" si="18">+E308*0.1*14.01/(D308*10)</f>
        <v>0.25660856720827285</v>
      </c>
      <c r="G308" s="3">
        <v>6.25</v>
      </c>
      <c r="H308" s="2">
        <v>0</v>
      </c>
      <c r="I308" s="63">
        <f t="shared" si="17"/>
        <v>1.6038035450517054</v>
      </c>
      <c r="J308" s="2" t="s">
        <v>10</v>
      </c>
      <c r="K308" s="2" t="s">
        <v>10</v>
      </c>
      <c r="L308" s="2" t="s">
        <v>10</v>
      </c>
      <c r="M308" s="3" t="s">
        <v>14</v>
      </c>
      <c r="N308" s="3" t="s">
        <v>15</v>
      </c>
      <c r="O308" s="202" t="s">
        <v>10</v>
      </c>
      <c r="P308" s="202"/>
      <c r="Q308" s="202"/>
    </row>
    <row r="309" spans="1:17" hidden="1" x14ac:dyDescent="0.3">
      <c r="A309" s="31">
        <v>43333</v>
      </c>
      <c r="B309" s="3" t="s">
        <v>1019</v>
      </c>
      <c r="C309" s="2" t="s">
        <v>1018</v>
      </c>
      <c r="D309" s="2">
        <v>1.0004</v>
      </c>
      <c r="E309" s="2">
        <v>2.4820000000000002</v>
      </c>
      <c r="F309" s="3">
        <f t="shared" si="18"/>
        <v>0.34758916433426634</v>
      </c>
      <c r="G309" s="3">
        <v>6.25</v>
      </c>
      <c r="H309" s="2">
        <v>0</v>
      </c>
      <c r="I309" s="63">
        <f t="shared" si="17"/>
        <v>2.1724322770891646</v>
      </c>
      <c r="J309" s="2" t="s">
        <v>10</v>
      </c>
      <c r="K309" s="2" t="s">
        <v>10</v>
      </c>
      <c r="L309" s="2" t="s">
        <v>10</v>
      </c>
      <c r="M309" s="3" t="s">
        <v>14</v>
      </c>
      <c r="N309" s="3" t="s">
        <v>15</v>
      </c>
      <c r="O309" s="202" t="s">
        <v>10</v>
      </c>
      <c r="P309" s="202"/>
      <c r="Q309" s="202"/>
    </row>
    <row r="310" spans="1:17" hidden="1" x14ac:dyDescent="0.3">
      <c r="A310" s="31">
        <v>43340</v>
      </c>
      <c r="B310" s="3" t="s">
        <v>1027</v>
      </c>
      <c r="C310" s="2" t="s">
        <v>1026</v>
      </c>
      <c r="D310" s="2">
        <v>1.0008999999999999</v>
      </c>
      <c r="E310" s="2">
        <v>34.201999999999998</v>
      </c>
      <c r="F310" s="3">
        <f t="shared" si="18"/>
        <v>4.7873915476071538</v>
      </c>
      <c r="G310" s="3">
        <v>6.38</v>
      </c>
      <c r="H310" s="2">
        <v>0</v>
      </c>
      <c r="I310" s="63">
        <f t="shared" si="17"/>
        <v>30.543558073733642</v>
      </c>
      <c r="J310" s="2" t="s">
        <v>10</v>
      </c>
      <c r="K310" s="2" t="s">
        <v>10</v>
      </c>
      <c r="L310" s="2" t="s">
        <v>10</v>
      </c>
      <c r="M310" s="3" t="s">
        <v>14</v>
      </c>
      <c r="N310" s="3" t="s">
        <v>15</v>
      </c>
      <c r="O310" s="202" t="s">
        <v>10</v>
      </c>
      <c r="P310" s="202"/>
      <c r="Q310" s="202"/>
    </row>
    <row r="311" spans="1:17" hidden="1" x14ac:dyDescent="0.3">
      <c r="A311" s="31">
        <v>43340</v>
      </c>
      <c r="B311" s="3" t="s">
        <v>1029</v>
      </c>
      <c r="C311" s="2" t="s">
        <v>1028</v>
      </c>
      <c r="D311" s="2">
        <v>1.0003</v>
      </c>
      <c r="E311" s="2">
        <v>32.65</v>
      </c>
      <c r="F311" s="3">
        <f t="shared" si="18"/>
        <v>4.5728931320603818</v>
      </c>
      <c r="G311" s="3">
        <v>6.38</v>
      </c>
      <c r="H311" s="2">
        <v>0</v>
      </c>
      <c r="I311" s="63">
        <f t="shared" si="17"/>
        <v>29.175058182545236</v>
      </c>
      <c r="J311" s="2" t="s">
        <v>10</v>
      </c>
      <c r="K311" s="2" t="s">
        <v>10</v>
      </c>
      <c r="L311" s="2" t="s">
        <v>10</v>
      </c>
      <c r="M311" s="3" t="s">
        <v>14</v>
      </c>
      <c r="N311" s="3" t="s">
        <v>15</v>
      </c>
      <c r="O311" s="202" t="s">
        <v>10</v>
      </c>
      <c r="P311" s="202"/>
      <c r="Q311" s="202"/>
    </row>
    <row r="312" spans="1:17" hidden="1" x14ac:dyDescent="0.3">
      <c r="A312" s="31">
        <v>43333</v>
      </c>
      <c r="B312" s="3" t="s">
        <v>1030</v>
      </c>
      <c r="C312" s="2" t="s">
        <v>1031</v>
      </c>
      <c r="D312" s="2">
        <v>1.0003</v>
      </c>
      <c r="E312" s="2">
        <v>12.048</v>
      </c>
      <c r="F312" s="3">
        <f t="shared" si="18"/>
        <v>1.6874185744276717</v>
      </c>
      <c r="G312" s="3">
        <v>6.38</v>
      </c>
      <c r="H312" s="2">
        <v>0</v>
      </c>
      <c r="I312" s="63">
        <f t="shared" si="17"/>
        <v>10.765730504848545</v>
      </c>
      <c r="J312" s="2" t="s">
        <v>10</v>
      </c>
      <c r="K312" s="2" t="s">
        <v>10</v>
      </c>
      <c r="L312" s="2" t="s">
        <v>10</v>
      </c>
      <c r="M312" s="3" t="s">
        <v>14</v>
      </c>
      <c r="N312" s="3" t="s">
        <v>15</v>
      </c>
      <c r="O312" s="202" t="s">
        <v>10</v>
      </c>
      <c r="P312" s="202"/>
      <c r="Q312" s="202"/>
    </row>
    <row r="313" spans="1:17" hidden="1" x14ac:dyDescent="0.3">
      <c r="A313" s="31">
        <v>43340</v>
      </c>
      <c r="B313" s="3" t="s">
        <v>1033</v>
      </c>
      <c r="C313" s="2" t="s">
        <v>1032</v>
      </c>
      <c r="D313" s="2">
        <v>1.0008999999999999</v>
      </c>
      <c r="E313" s="142">
        <v>12.58</v>
      </c>
      <c r="F313" s="3">
        <f t="shared" si="18"/>
        <v>1.7608732141073036</v>
      </c>
      <c r="G313" s="3">
        <v>6.25</v>
      </c>
      <c r="H313" s="2">
        <v>0</v>
      </c>
      <c r="I313" s="63">
        <f t="shared" si="17"/>
        <v>11.005457588170648</v>
      </c>
      <c r="J313" s="204">
        <f>+AVERAGE(I313:I314)</f>
        <v>11.030827879908085</v>
      </c>
      <c r="K313" s="202">
        <f>+STDEVA(I313:I314)</f>
        <v>3.5879010656444839E-2</v>
      </c>
      <c r="L313" s="202">
        <f>+(K313/J313)*100</f>
        <v>0.32526126821175461</v>
      </c>
      <c r="M313" s="3" t="s">
        <v>14</v>
      </c>
      <c r="N313" s="3" t="s">
        <v>15</v>
      </c>
      <c r="O313" s="202" t="s">
        <v>10</v>
      </c>
      <c r="P313" s="202"/>
      <c r="Q313" s="202"/>
    </row>
    <row r="314" spans="1:17" hidden="1" x14ac:dyDescent="0.3">
      <c r="A314" s="31">
        <v>43340</v>
      </c>
      <c r="B314" s="3" t="s">
        <v>1033</v>
      </c>
      <c r="C314" s="2" t="s">
        <v>1032</v>
      </c>
      <c r="D314" s="2">
        <v>1.0008999999999999</v>
      </c>
      <c r="E314" s="2">
        <v>12.638</v>
      </c>
      <c r="F314" s="3">
        <f t="shared" si="18"/>
        <v>1.7689917074632833</v>
      </c>
      <c r="G314" s="3">
        <v>6.25</v>
      </c>
      <c r="H314" s="2">
        <v>0</v>
      </c>
      <c r="I314" s="63">
        <f t="shared" si="17"/>
        <v>11.056198171645521</v>
      </c>
      <c r="J314" s="204"/>
      <c r="K314" s="202"/>
      <c r="L314" s="202"/>
      <c r="M314" s="3" t="s">
        <v>14</v>
      </c>
      <c r="N314" s="3" t="s">
        <v>15</v>
      </c>
      <c r="O314" s="202" t="s">
        <v>10</v>
      </c>
      <c r="P314" s="202"/>
      <c r="Q314" s="202"/>
    </row>
    <row r="315" spans="1:17" x14ac:dyDescent="0.3">
      <c r="A315" s="31">
        <v>43340</v>
      </c>
      <c r="B315" s="3" t="s">
        <v>1050</v>
      </c>
      <c r="C315" s="2" t="s">
        <v>1052</v>
      </c>
      <c r="D315" s="152">
        <v>1.0008999999999999</v>
      </c>
      <c r="E315" s="152">
        <v>0.108</v>
      </c>
      <c r="F315" s="56">
        <f t="shared" si="18"/>
        <v>1.5117194524927567E-2</v>
      </c>
      <c r="G315" s="3">
        <v>6.25</v>
      </c>
      <c r="H315" s="151">
        <v>0</v>
      </c>
      <c r="I315" s="63">
        <f t="shared" si="17"/>
        <v>9.448246578079729E-2</v>
      </c>
      <c r="J315" s="101" t="s">
        <v>10</v>
      </c>
      <c r="K315" s="101" t="s">
        <v>10</v>
      </c>
      <c r="L315" s="101" t="s">
        <v>10</v>
      </c>
      <c r="M315" s="3" t="s">
        <v>14</v>
      </c>
      <c r="N315" s="3" t="s">
        <v>15</v>
      </c>
      <c r="O315" s="202" t="s">
        <v>10</v>
      </c>
      <c r="P315" s="202"/>
      <c r="Q315" s="202"/>
    </row>
    <row r="316" spans="1:17" hidden="1" x14ac:dyDescent="0.3">
      <c r="A316" s="31">
        <v>43340</v>
      </c>
      <c r="B316" s="3" t="s">
        <v>1051</v>
      </c>
      <c r="C316" s="2" t="s">
        <v>1053</v>
      </c>
      <c r="D316" s="2">
        <v>1.0008999999999999</v>
      </c>
      <c r="E316" s="2">
        <v>0.12</v>
      </c>
      <c r="F316" s="3">
        <f t="shared" si="18"/>
        <v>1.6796882805475075E-2</v>
      </c>
      <c r="G316" s="3">
        <v>6.25</v>
      </c>
      <c r="H316" s="2">
        <v>0</v>
      </c>
      <c r="I316" s="63">
        <f t="shared" si="17"/>
        <v>0.10498051753421922</v>
      </c>
      <c r="J316" s="204">
        <f>+AVERAGE(I316:I317)</f>
        <v>9.4482465780797303E-2</v>
      </c>
      <c r="K316" s="202">
        <f>+STDEVA(I316:I317)</f>
        <v>1.4846487168183852E-2</v>
      </c>
      <c r="L316" s="202">
        <f>+(K316/J316)*100</f>
        <v>15.713484026367636</v>
      </c>
      <c r="M316" s="3" t="s">
        <v>14</v>
      </c>
      <c r="N316" s="3" t="s">
        <v>15</v>
      </c>
      <c r="O316" s="202" t="s">
        <v>10</v>
      </c>
      <c r="P316" s="202"/>
      <c r="Q316" s="202"/>
    </row>
    <row r="317" spans="1:17" hidden="1" x14ac:dyDescent="0.3">
      <c r="A317" s="31">
        <v>43340</v>
      </c>
      <c r="B317" s="3" t="s">
        <v>1051</v>
      </c>
      <c r="C317" s="2" t="s">
        <v>1053</v>
      </c>
      <c r="D317" s="2">
        <v>1.0008999999999999</v>
      </c>
      <c r="E317" s="2">
        <v>9.6000000000000002E-2</v>
      </c>
      <c r="F317" s="3">
        <f t="shared" si="18"/>
        <v>1.343750624438006E-2</v>
      </c>
      <c r="G317" s="3">
        <v>6.25</v>
      </c>
      <c r="H317" s="2">
        <v>0</v>
      </c>
      <c r="I317" s="63">
        <f t="shared" si="17"/>
        <v>8.3984414027375373E-2</v>
      </c>
      <c r="J317" s="204"/>
      <c r="K317" s="202"/>
      <c r="L317" s="202"/>
      <c r="M317" s="3" t="s">
        <v>14</v>
      </c>
      <c r="N317" s="3" t="s">
        <v>15</v>
      </c>
      <c r="O317" s="202" t="s">
        <v>10</v>
      </c>
      <c r="P317" s="202"/>
      <c r="Q317" s="202"/>
    </row>
    <row r="318" spans="1:17" hidden="1" x14ac:dyDescent="0.3">
      <c r="A318" s="31">
        <v>43340</v>
      </c>
      <c r="B318" s="3" t="s">
        <v>1055</v>
      </c>
      <c r="C318" s="2" t="s">
        <v>1054</v>
      </c>
      <c r="D318" s="2">
        <v>1.0008999999999999</v>
      </c>
      <c r="E318" s="2">
        <v>11.997999999999999</v>
      </c>
      <c r="F318" s="3">
        <f t="shared" si="18"/>
        <v>1.6794083325007494</v>
      </c>
      <c r="G318" s="3">
        <v>6.38</v>
      </c>
      <c r="H318" s="2">
        <v>0</v>
      </c>
      <c r="I318" s="63">
        <f t="shared" si="17"/>
        <v>10.71462516135478</v>
      </c>
      <c r="J318" s="204">
        <f>+AVERAGE(I318:I319)</f>
        <v>10.69193925333926</v>
      </c>
      <c r="K318" s="202">
        <f>+STDEVA(I318:I319)</f>
        <v>3.2082718790295256E-2</v>
      </c>
      <c r="L318" s="202">
        <f>+(K318/J318)*100</f>
        <v>0.30006454423387524</v>
      </c>
      <c r="M318" s="3" t="s">
        <v>14</v>
      </c>
      <c r="N318" s="3" t="s">
        <v>15</v>
      </c>
      <c r="O318" s="202" t="s">
        <v>10</v>
      </c>
      <c r="P318" s="202"/>
      <c r="Q318" s="202"/>
    </row>
    <row r="319" spans="1:17" hidden="1" x14ac:dyDescent="0.3">
      <c r="A319" s="31">
        <v>43340</v>
      </c>
      <c r="B319" s="3" t="s">
        <v>1055</v>
      </c>
      <c r="C319" s="2" t="s">
        <v>1054</v>
      </c>
      <c r="D319" s="2">
        <v>1.0007999999999999</v>
      </c>
      <c r="E319" s="2">
        <v>11.946</v>
      </c>
      <c r="F319" s="3">
        <f t="shared" si="18"/>
        <v>1.6722967625899283</v>
      </c>
      <c r="G319" s="3">
        <v>6.38</v>
      </c>
      <c r="H319" s="2">
        <v>0</v>
      </c>
      <c r="I319" s="63">
        <f t="shared" ref="I319:I328" si="19">+F319*G319</f>
        <v>10.669253345323742</v>
      </c>
      <c r="J319" s="204"/>
      <c r="K319" s="202"/>
      <c r="L319" s="202"/>
      <c r="M319" s="3" t="s">
        <v>14</v>
      </c>
      <c r="N319" s="3" t="s">
        <v>15</v>
      </c>
      <c r="O319" s="202" t="s">
        <v>10</v>
      </c>
      <c r="P319" s="202"/>
      <c r="Q319" s="202"/>
    </row>
    <row r="320" spans="1:17" x14ac:dyDescent="0.3">
      <c r="A320" s="31">
        <v>43340</v>
      </c>
      <c r="B320" s="3" t="s">
        <v>1050</v>
      </c>
      <c r="C320" s="2" t="s">
        <v>1058</v>
      </c>
      <c r="D320" s="34">
        <f>+'FIBRA DIETARIA KIT'!H107</f>
        <v>5.9399999999996567E-2</v>
      </c>
      <c r="E320" s="153">
        <v>0.248</v>
      </c>
      <c r="F320" s="56">
        <f t="shared" si="18"/>
        <v>0.58492929292932683</v>
      </c>
      <c r="G320" s="3">
        <v>6.25</v>
      </c>
      <c r="H320" s="151">
        <v>0</v>
      </c>
      <c r="I320" s="63">
        <f t="shared" si="19"/>
        <v>3.6558080808082929</v>
      </c>
      <c r="J320" s="151" t="s">
        <v>10</v>
      </c>
      <c r="K320" s="151" t="s">
        <v>10</v>
      </c>
      <c r="L320" s="151" t="s">
        <v>10</v>
      </c>
      <c r="M320" s="3" t="s">
        <v>14</v>
      </c>
      <c r="N320" s="3" t="s">
        <v>15</v>
      </c>
      <c r="O320" s="202" t="s">
        <v>10</v>
      </c>
      <c r="P320" s="202"/>
      <c r="Q320" s="202"/>
    </row>
    <row r="321" spans="1:17" ht="18" customHeight="1" x14ac:dyDescent="0.3">
      <c r="A321" s="31">
        <v>43340</v>
      </c>
      <c r="B321" s="3" t="s">
        <v>1050</v>
      </c>
      <c r="C321" s="2" t="s">
        <v>1059</v>
      </c>
      <c r="D321" s="34">
        <f>+'FIBRA DIETARIA KIT'!H109</f>
        <v>0.50890000000000413</v>
      </c>
      <c r="E321" s="153">
        <v>11.282</v>
      </c>
      <c r="F321" s="56">
        <f t="shared" si="18"/>
        <v>3.1059308312045339</v>
      </c>
      <c r="G321" s="3">
        <v>6.25</v>
      </c>
      <c r="H321" s="151">
        <v>0</v>
      </c>
      <c r="I321" s="63">
        <f>+F321*G321</f>
        <v>19.412067695028338</v>
      </c>
      <c r="J321" s="151" t="s">
        <v>10</v>
      </c>
      <c r="K321" s="151" t="s">
        <v>10</v>
      </c>
      <c r="L321" s="151" t="s">
        <v>10</v>
      </c>
      <c r="M321" s="3" t="s">
        <v>14</v>
      </c>
      <c r="N321" s="3" t="s">
        <v>15</v>
      </c>
      <c r="O321" s="202" t="s">
        <v>10</v>
      </c>
      <c r="P321" s="202"/>
      <c r="Q321" s="202"/>
    </row>
    <row r="322" spans="1:17" hidden="1" x14ac:dyDescent="0.3">
      <c r="A322" s="31">
        <v>43340</v>
      </c>
      <c r="B322" s="3" t="s">
        <v>1051</v>
      </c>
      <c r="C322" s="2" t="s">
        <v>1056</v>
      </c>
      <c r="D322">
        <f>+'FIBRA DIETARIA KIT'!H111</f>
        <v>0.16600000000000392</v>
      </c>
      <c r="E322" s="44">
        <v>0.109</v>
      </c>
      <c r="F322" s="3">
        <f t="shared" si="18"/>
        <v>9.1993373493973726E-2</v>
      </c>
      <c r="G322" s="3">
        <v>6.25</v>
      </c>
      <c r="H322" s="2">
        <v>0</v>
      </c>
      <c r="I322" s="63">
        <f t="shared" si="19"/>
        <v>0.57495858433733582</v>
      </c>
      <c r="J322" s="2" t="s">
        <v>10</v>
      </c>
      <c r="K322" s="2" t="s">
        <v>10</v>
      </c>
      <c r="L322" s="2" t="s">
        <v>10</v>
      </c>
      <c r="M322" s="3" t="s">
        <v>14</v>
      </c>
      <c r="N322" s="3" t="s">
        <v>15</v>
      </c>
      <c r="O322" s="202" t="s">
        <v>10</v>
      </c>
      <c r="P322" s="202"/>
      <c r="Q322" s="202"/>
    </row>
    <row r="323" spans="1:17" hidden="1" x14ac:dyDescent="0.3">
      <c r="A323" s="31">
        <v>43340</v>
      </c>
      <c r="B323" s="3" t="s">
        <v>1022</v>
      </c>
      <c r="C323" s="2" t="s">
        <v>1020</v>
      </c>
      <c r="D323">
        <v>1.0004</v>
      </c>
      <c r="E323" s="44">
        <v>0.24</v>
      </c>
      <c r="F323" s="3">
        <f t="shared" si="18"/>
        <v>3.3610555777688927E-2</v>
      </c>
      <c r="G323" s="3">
        <v>6.25</v>
      </c>
      <c r="H323" s="2">
        <v>0</v>
      </c>
      <c r="I323" s="63">
        <f t="shared" si="19"/>
        <v>0.21006597361055579</v>
      </c>
      <c r="J323" s="2" t="s">
        <v>10</v>
      </c>
      <c r="K323" s="2" t="s">
        <v>10</v>
      </c>
      <c r="L323" s="2" t="s">
        <v>10</v>
      </c>
      <c r="M323" s="3" t="s">
        <v>14</v>
      </c>
      <c r="N323" s="3" t="s">
        <v>15</v>
      </c>
      <c r="O323" s="202" t="s">
        <v>10</v>
      </c>
      <c r="P323" s="202"/>
      <c r="Q323" s="202"/>
    </row>
    <row r="324" spans="1:17" hidden="1" x14ac:dyDescent="0.3">
      <c r="A324" s="31">
        <v>43340</v>
      </c>
      <c r="B324" s="3" t="s">
        <v>1023</v>
      </c>
      <c r="C324" s="2" t="s">
        <v>1021</v>
      </c>
      <c r="D324">
        <v>1.0003</v>
      </c>
      <c r="E324" s="44">
        <v>0.25</v>
      </c>
      <c r="F324" s="3">
        <f t="shared" si="18"/>
        <v>3.5014495651304607E-2</v>
      </c>
      <c r="G324" s="3">
        <v>6.25</v>
      </c>
      <c r="H324" s="2">
        <v>0</v>
      </c>
      <c r="I324" s="63">
        <f t="shared" si="19"/>
        <v>0.21884059782065379</v>
      </c>
      <c r="J324" s="2" t="s">
        <v>10</v>
      </c>
      <c r="K324" s="2" t="s">
        <v>10</v>
      </c>
      <c r="L324" s="2" t="s">
        <v>10</v>
      </c>
      <c r="M324" s="3" t="s">
        <v>14</v>
      </c>
      <c r="N324" s="3" t="s">
        <v>15</v>
      </c>
      <c r="O324" s="202" t="s">
        <v>10</v>
      </c>
      <c r="P324" s="202"/>
      <c r="Q324" s="202"/>
    </row>
    <row r="325" spans="1:17" hidden="1" x14ac:dyDescent="0.3">
      <c r="A325" s="31">
        <v>43340</v>
      </c>
      <c r="B325" s="3" t="s">
        <v>1025</v>
      </c>
      <c r="C325" s="2" t="s">
        <v>1024</v>
      </c>
      <c r="D325">
        <v>1.0003</v>
      </c>
      <c r="E325" s="44">
        <v>7.3339999999999996</v>
      </c>
      <c r="F325" s="3">
        <f t="shared" si="18"/>
        <v>1.027185244426672</v>
      </c>
      <c r="G325" s="3">
        <v>6.25</v>
      </c>
      <c r="H325" s="2">
        <v>0</v>
      </c>
      <c r="I325" s="63">
        <f t="shared" si="19"/>
        <v>6.4199077776667002</v>
      </c>
      <c r="J325" s="204">
        <f>+AVERAGE(I325:I326)</f>
        <v>6.4432193326558211</v>
      </c>
      <c r="K325" s="202">
        <f>+STDEVA(I325:I326)</f>
        <v>3.2967517225621051E-2</v>
      </c>
      <c r="L325" s="202">
        <f>+(K325/J325)*100</f>
        <v>0.51166219126723755</v>
      </c>
      <c r="M325" s="3" t="s">
        <v>14</v>
      </c>
      <c r="N325" s="3" t="s">
        <v>15</v>
      </c>
      <c r="O325" s="202" t="s">
        <v>10</v>
      </c>
      <c r="P325" s="202"/>
      <c r="Q325" s="202"/>
    </row>
    <row r="326" spans="1:17" hidden="1" x14ac:dyDescent="0.3">
      <c r="A326" s="31">
        <v>43340</v>
      </c>
      <c r="B326" s="3" t="s">
        <v>1025</v>
      </c>
      <c r="C326" s="2" t="s">
        <v>1024</v>
      </c>
      <c r="D326">
        <v>1.0004</v>
      </c>
      <c r="E326" s="44">
        <v>7.3879999999999999</v>
      </c>
      <c r="F326" s="3">
        <f t="shared" si="18"/>
        <v>1.0346449420231907</v>
      </c>
      <c r="G326" s="3">
        <v>6.25</v>
      </c>
      <c r="H326" s="2">
        <v>0</v>
      </c>
      <c r="I326" s="63">
        <f t="shared" si="19"/>
        <v>6.4665308876449421</v>
      </c>
      <c r="J326" s="204"/>
      <c r="K326" s="202"/>
      <c r="L326" s="202"/>
      <c r="M326" s="3" t="s">
        <v>14</v>
      </c>
      <c r="N326" s="3" t="s">
        <v>15</v>
      </c>
      <c r="O326" s="202" t="s">
        <v>10</v>
      </c>
      <c r="P326" s="202"/>
      <c r="Q326" s="202"/>
    </row>
    <row r="327" spans="1:17" hidden="1" x14ac:dyDescent="0.3">
      <c r="A327" s="31">
        <v>43340</v>
      </c>
      <c r="B327" s="57" t="s">
        <v>1055</v>
      </c>
      <c r="C327" s="36" t="s">
        <v>1057</v>
      </c>
      <c r="D327">
        <f>+'FIBRA DIETARIA KIT'!H113</f>
        <v>7.2900000000004184E-2</v>
      </c>
      <c r="E327" s="44">
        <v>0.23599999999999999</v>
      </c>
      <c r="F327" s="57">
        <f t="shared" si="18"/>
        <v>0.45354732510285461</v>
      </c>
      <c r="G327" s="57">
        <v>6.25</v>
      </c>
      <c r="H327" s="2">
        <v>0</v>
      </c>
      <c r="I327" s="80">
        <f t="shared" si="19"/>
        <v>2.8346707818928412</v>
      </c>
      <c r="J327" s="2" t="s">
        <v>10</v>
      </c>
      <c r="K327" s="2" t="s">
        <v>10</v>
      </c>
      <c r="L327" s="2" t="s">
        <v>10</v>
      </c>
      <c r="M327" s="3" t="s">
        <v>14</v>
      </c>
      <c r="N327" s="3" t="s">
        <v>15</v>
      </c>
      <c r="O327" s="202" t="s">
        <v>10</v>
      </c>
      <c r="P327" s="202"/>
      <c r="Q327" s="202"/>
    </row>
    <row r="328" spans="1:17" hidden="1" x14ac:dyDescent="0.3">
      <c r="A328" s="61">
        <v>43340</v>
      </c>
      <c r="B328" s="3" t="s">
        <v>127</v>
      </c>
      <c r="C328" s="2" t="s">
        <v>1060</v>
      </c>
      <c r="D328" s="2">
        <v>0.18079999999999999</v>
      </c>
      <c r="E328" s="2">
        <v>3.5999999999999997E-2</v>
      </c>
      <c r="F328" s="3">
        <f t="shared" si="18"/>
        <v>2.7896017699115042E-2</v>
      </c>
      <c r="G328" s="3">
        <v>6.25</v>
      </c>
      <c r="H328" s="2">
        <v>0</v>
      </c>
      <c r="I328" s="63">
        <f t="shared" si="19"/>
        <v>0.17435011061946901</v>
      </c>
      <c r="J328" s="2" t="s">
        <v>10</v>
      </c>
      <c r="K328" s="2" t="s">
        <v>10</v>
      </c>
      <c r="L328" s="2" t="s">
        <v>10</v>
      </c>
      <c r="M328" s="3" t="s">
        <v>14</v>
      </c>
      <c r="N328" s="3" t="s">
        <v>15</v>
      </c>
      <c r="O328" s="279" t="s">
        <v>1119</v>
      </c>
      <c r="P328" s="280"/>
      <c r="Q328" s="281"/>
    </row>
    <row r="329" spans="1:17" hidden="1" x14ac:dyDescent="0.3">
      <c r="A329" s="61">
        <v>43348</v>
      </c>
      <c r="B329" s="3" t="s">
        <v>10</v>
      </c>
      <c r="C329" s="2" t="s">
        <v>837</v>
      </c>
      <c r="D329" s="2">
        <v>0.12570000000000001</v>
      </c>
      <c r="E329" s="2">
        <v>19.096</v>
      </c>
      <c r="F329" s="3">
        <f t="shared" si="18"/>
        <v>21.283608591885439</v>
      </c>
      <c r="G329" s="3">
        <v>6.25</v>
      </c>
      <c r="H329" s="2">
        <v>0</v>
      </c>
      <c r="I329" s="63" t="s">
        <v>10</v>
      </c>
      <c r="J329" s="2" t="s">
        <v>10</v>
      </c>
      <c r="K329" s="2" t="s">
        <v>10</v>
      </c>
      <c r="L329" s="2" t="s">
        <v>10</v>
      </c>
      <c r="M329" s="3" t="s">
        <v>14</v>
      </c>
      <c r="N329" s="3" t="s">
        <v>15</v>
      </c>
      <c r="O329" s="279" t="s">
        <v>1120</v>
      </c>
      <c r="P329" s="280"/>
      <c r="Q329" s="281"/>
    </row>
    <row r="330" spans="1:17" hidden="1" x14ac:dyDescent="0.3">
      <c r="A330" s="61">
        <v>43343</v>
      </c>
      <c r="B330" s="3" t="s">
        <v>1069</v>
      </c>
      <c r="C330" s="2" t="s">
        <v>1068</v>
      </c>
      <c r="D330" s="2">
        <v>1.0008999999999999</v>
      </c>
      <c r="E330" s="2">
        <v>14.238</v>
      </c>
      <c r="F330" s="3">
        <f t="shared" si="18"/>
        <v>1.9929501448696174</v>
      </c>
      <c r="G330" s="3">
        <v>6.25</v>
      </c>
      <c r="H330" s="2">
        <v>0</v>
      </c>
      <c r="I330" s="63">
        <f t="shared" ref="I330:I361" si="20">+F330*G330</f>
        <v>12.455938405435109</v>
      </c>
      <c r="J330" s="204">
        <f>+AVERAGE(I330:I331)</f>
        <v>12.500555125387153</v>
      </c>
      <c r="K330" s="202">
        <f>+STDEVA(I330:I331)</f>
        <v>6.3097570464783162E-2</v>
      </c>
      <c r="L330" s="202">
        <f>+(K330/J330)*100</f>
        <v>0.50475814739330604</v>
      </c>
      <c r="M330" s="3" t="s">
        <v>14</v>
      </c>
      <c r="N330" s="3" t="s">
        <v>15</v>
      </c>
      <c r="O330" s="202" t="s">
        <v>10</v>
      </c>
      <c r="P330" s="202"/>
      <c r="Q330" s="202"/>
    </row>
    <row r="331" spans="1:17" hidden="1" x14ac:dyDescent="0.3">
      <c r="A331" s="61">
        <v>43343</v>
      </c>
      <c r="B331" s="3" t="s">
        <v>1069</v>
      </c>
      <c r="C331" s="2" t="s">
        <v>1068</v>
      </c>
      <c r="D331" s="2">
        <v>1.0008999999999999</v>
      </c>
      <c r="E331" s="2">
        <v>14.34</v>
      </c>
      <c r="F331" s="3">
        <f t="shared" si="18"/>
        <v>2.0072274952542717</v>
      </c>
      <c r="G331" s="3">
        <v>6.25</v>
      </c>
      <c r="H331" s="2">
        <v>0</v>
      </c>
      <c r="I331" s="63">
        <f t="shared" si="20"/>
        <v>12.545171845339198</v>
      </c>
      <c r="J331" s="204"/>
      <c r="K331" s="202"/>
      <c r="L331" s="202"/>
      <c r="M331" s="3" t="s">
        <v>14</v>
      </c>
      <c r="N331" s="3" t="s">
        <v>15</v>
      </c>
      <c r="O331" s="202" t="s">
        <v>10</v>
      </c>
      <c r="P331" s="202"/>
      <c r="Q331" s="202"/>
    </row>
    <row r="332" spans="1:17" hidden="1" x14ac:dyDescent="0.3">
      <c r="A332" s="61">
        <v>43343</v>
      </c>
      <c r="B332" s="3" t="s">
        <v>1070</v>
      </c>
      <c r="C332" s="2" t="s">
        <v>1071</v>
      </c>
      <c r="D332" s="2">
        <v>1.0008999999999999</v>
      </c>
      <c r="E332" s="2">
        <v>10.552</v>
      </c>
      <c r="F332" s="3">
        <f t="shared" si="18"/>
        <v>1.4770058946947748</v>
      </c>
      <c r="G332" s="3">
        <v>6.25</v>
      </c>
      <c r="H332" s="2">
        <v>0</v>
      </c>
      <c r="I332" s="63">
        <f t="shared" si="20"/>
        <v>9.2312868418423424</v>
      </c>
      <c r="J332" s="2" t="s">
        <v>10</v>
      </c>
      <c r="K332" s="2" t="s">
        <v>10</v>
      </c>
      <c r="L332" s="2" t="s">
        <v>10</v>
      </c>
      <c r="M332" s="3" t="s">
        <v>14</v>
      </c>
      <c r="N332" s="3" t="s">
        <v>15</v>
      </c>
      <c r="O332" s="202" t="s">
        <v>10</v>
      </c>
      <c r="P332" s="202"/>
      <c r="Q332" s="202"/>
    </row>
    <row r="333" spans="1:17" hidden="1" x14ac:dyDescent="0.3">
      <c r="A333" s="61">
        <v>43343</v>
      </c>
      <c r="B333" s="3" t="s">
        <v>1073</v>
      </c>
      <c r="C333" s="2" t="s">
        <v>1072</v>
      </c>
      <c r="D333" s="2">
        <v>1.0008999999999999</v>
      </c>
      <c r="E333" s="2">
        <v>20</v>
      </c>
      <c r="F333" s="3">
        <f t="shared" si="18"/>
        <v>2.7994804675791789</v>
      </c>
      <c r="G333" s="3">
        <v>6.25</v>
      </c>
      <c r="H333" s="2">
        <v>0</v>
      </c>
      <c r="I333" s="63">
        <f t="shared" si="20"/>
        <v>17.496752922369868</v>
      </c>
      <c r="J333" s="2" t="s">
        <v>10</v>
      </c>
      <c r="K333" s="2" t="s">
        <v>10</v>
      </c>
      <c r="L333" s="2" t="s">
        <v>10</v>
      </c>
      <c r="M333" s="3" t="s">
        <v>14</v>
      </c>
      <c r="N333" s="3" t="s">
        <v>15</v>
      </c>
      <c r="O333" s="202" t="s">
        <v>10</v>
      </c>
      <c r="P333" s="202"/>
      <c r="Q333" s="202"/>
    </row>
    <row r="334" spans="1:17" hidden="1" x14ac:dyDescent="0.3">
      <c r="A334" s="61">
        <v>43343</v>
      </c>
      <c r="B334" s="3" t="s">
        <v>1074</v>
      </c>
      <c r="C334" s="2" t="s">
        <v>1075</v>
      </c>
      <c r="D334" s="2">
        <v>1.0002</v>
      </c>
      <c r="E334" s="2">
        <v>21.646000000000001</v>
      </c>
      <c r="F334" s="3">
        <f t="shared" si="18"/>
        <v>3.0319982003599284</v>
      </c>
      <c r="G334" s="3">
        <v>6.25</v>
      </c>
      <c r="H334" s="2">
        <v>0</v>
      </c>
      <c r="I334" s="63">
        <f t="shared" si="20"/>
        <v>18.949988752249553</v>
      </c>
      <c r="J334" s="2" t="s">
        <v>10</v>
      </c>
      <c r="K334" s="2" t="s">
        <v>10</v>
      </c>
      <c r="L334" s="2" t="s">
        <v>10</v>
      </c>
      <c r="M334" s="3" t="s">
        <v>14</v>
      </c>
      <c r="N334" s="3" t="s">
        <v>15</v>
      </c>
      <c r="O334" s="202" t="s">
        <v>10</v>
      </c>
      <c r="P334" s="202"/>
      <c r="Q334" s="202"/>
    </row>
    <row r="335" spans="1:17" hidden="1" x14ac:dyDescent="0.3">
      <c r="A335" s="61">
        <v>43343</v>
      </c>
      <c r="B335" s="3" t="s">
        <v>1076</v>
      </c>
      <c r="C335" s="2" t="s">
        <v>1077</v>
      </c>
      <c r="D335" s="2">
        <v>1.0008999999999999</v>
      </c>
      <c r="E335" s="2">
        <v>1.74</v>
      </c>
      <c r="F335" s="3">
        <f t="shared" si="18"/>
        <v>0.24355480067938862</v>
      </c>
      <c r="G335" s="3">
        <v>6.25</v>
      </c>
      <c r="H335" s="2">
        <v>0</v>
      </c>
      <c r="I335" s="63">
        <f t="shared" si="20"/>
        <v>1.522217504246179</v>
      </c>
      <c r="J335" s="2" t="s">
        <v>10</v>
      </c>
      <c r="K335" s="2" t="s">
        <v>10</v>
      </c>
      <c r="L335" s="2" t="s">
        <v>10</v>
      </c>
      <c r="M335" s="3" t="s">
        <v>14</v>
      </c>
      <c r="N335" s="3" t="s">
        <v>15</v>
      </c>
      <c r="O335" s="202" t="s">
        <v>10</v>
      </c>
      <c r="P335" s="202"/>
      <c r="Q335" s="202"/>
    </row>
    <row r="336" spans="1:17" hidden="1" x14ac:dyDescent="0.3">
      <c r="A336" s="61">
        <v>43343</v>
      </c>
      <c r="B336" s="3" t="s">
        <v>1079</v>
      </c>
      <c r="C336" s="2" t="s">
        <v>1078</v>
      </c>
      <c r="D336" s="2">
        <v>1.0006999999999999</v>
      </c>
      <c r="E336" s="2">
        <v>2.86</v>
      </c>
      <c r="F336" s="3">
        <f t="shared" si="18"/>
        <v>0.40040571599880082</v>
      </c>
      <c r="G336" s="3">
        <v>6.25</v>
      </c>
      <c r="H336" s="2">
        <v>0</v>
      </c>
      <c r="I336" s="63">
        <f t="shared" si="20"/>
        <v>2.5025357249925051</v>
      </c>
      <c r="J336" s="2" t="s">
        <v>10</v>
      </c>
      <c r="K336" s="2" t="s">
        <v>10</v>
      </c>
      <c r="L336" s="2" t="s">
        <v>10</v>
      </c>
      <c r="M336" s="3" t="s">
        <v>14</v>
      </c>
      <c r="N336" s="3" t="s">
        <v>15</v>
      </c>
      <c r="O336" s="202" t="s">
        <v>10</v>
      </c>
      <c r="P336" s="202"/>
      <c r="Q336" s="202"/>
    </row>
    <row r="337" spans="1:17" hidden="1" x14ac:dyDescent="0.3">
      <c r="A337" s="61">
        <v>43343</v>
      </c>
      <c r="B337" s="3" t="s">
        <v>1079</v>
      </c>
      <c r="C337" s="2" t="s">
        <v>1080</v>
      </c>
      <c r="D337" s="2">
        <v>1.0008999999999999</v>
      </c>
      <c r="E337" s="2">
        <v>1.448</v>
      </c>
      <c r="F337" s="3">
        <f t="shared" si="18"/>
        <v>0.20268238585273257</v>
      </c>
      <c r="G337" s="3">
        <v>6.25</v>
      </c>
      <c r="H337" s="2">
        <v>0</v>
      </c>
      <c r="I337" s="63">
        <f t="shared" si="20"/>
        <v>1.2667649115795785</v>
      </c>
      <c r="J337" s="2" t="s">
        <v>10</v>
      </c>
      <c r="K337" s="2" t="s">
        <v>10</v>
      </c>
      <c r="L337" s="2" t="s">
        <v>10</v>
      </c>
      <c r="M337" s="3" t="s">
        <v>14</v>
      </c>
      <c r="N337" s="3" t="s">
        <v>15</v>
      </c>
      <c r="O337" s="202" t="s">
        <v>10</v>
      </c>
      <c r="P337" s="202"/>
      <c r="Q337" s="202"/>
    </row>
    <row r="338" spans="1:17" hidden="1" x14ac:dyDescent="0.3">
      <c r="A338" s="61">
        <v>43343</v>
      </c>
      <c r="B338" s="3" t="s">
        <v>1081</v>
      </c>
      <c r="C338" s="2" t="s">
        <v>1082</v>
      </c>
      <c r="D338" s="2">
        <v>1.0003</v>
      </c>
      <c r="E338" s="2">
        <v>5.1760000000000002</v>
      </c>
      <c r="F338" s="3">
        <f t="shared" si="18"/>
        <v>0.72494011796461066</v>
      </c>
      <c r="G338" s="3">
        <v>6.25</v>
      </c>
      <c r="H338" s="2">
        <v>0</v>
      </c>
      <c r="I338" s="63">
        <f t="shared" si="20"/>
        <v>4.5308757372788167</v>
      </c>
      <c r="J338" s="2" t="s">
        <v>10</v>
      </c>
      <c r="K338" s="2" t="s">
        <v>10</v>
      </c>
      <c r="L338" s="2" t="s">
        <v>10</v>
      </c>
      <c r="M338" s="3" t="s">
        <v>14</v>
      </c>
      <c r="N338" s="3" t="s">
        <v>15</v>
      </c>
      <c r="O338" s="202" t="s">
        <v>10</v>
      </c>
      <c r="P338" s="202"/>
      <c r="Q338" s="202"/>
    </row>
    <row r="339" spans="1:17" hidden="1" x14ac:dyDescent="0.3">
      <c r="A339" s="61">
        <v>43343</v>
      </c>
      <c r="B339" s="15" t="s">
        <v>1076</v>
      </c>
      <c r="C339" s="2" t="s">
        <v>1090</v>
      </c>
      <c r="D339" s="2">
        <f>+'FIBRA DIETARIA KIT'!H115</f>
        <v>4.9799999999997624E-2</v>
      </c>
      <c r="E339" s="2">
        <v>2.4E-2</v>
      </c>
      <c r="F339" s="3">
        <f t="shared" si="18"/>
        <v>6.7518072289159847E-2</v>
      </c>
      <c r="G339" s="3">
        <v>6.25</v>
      </c>
      <c r="H339" s="2">
        <v>0</v>
      </c>
      <c r="I339" s="63">
        <f t="shared" si="20"/>
        <v>0.42198795180724902</v>
      </c>
      <c r="J339" s="2" t="s">
        <v>10</v>
      </c>
      <c r="K339" s="2" t="s">
        <v>10</v>
      </c>
      <c r="L339" s="2" t="s">
        <v>10</v>
      </c>
      <c r="M339" s="3" t="s">
        <v>14</v>
      </c>
      <c r="N339" s="3" t="s">
        <v>15</v>
      </c>
      <c r="O339" s="202" t="s">
        <v>10</v>
      </c>
      <c r="P339" s="202"/>
      <c r="Q339" s="202"/>
    </row>
    <row r="340" spans="1:17" hidden="1" x14ac:dyDescent="0.3">
      <c r="A340" s="61">
        <v>43343</v>
      </c>
      <c r="B340" s="15" t="s">
        <v>1079</v>
      </c>
      <c r="C340" s="2" t="s">
        <v>1091</v>
      </c>
      <c r="D340" s="2">
        <f>+'FIBRA DIETARIA KIT'!H117</f>
        <v>0.10710000000000264</v>
      </c>
      <c r="E340" s="2">
        <v>0.98</v>
      </c>
      <c r="F340" s="3">
        <f t="shared" si="18"/>
        <v>1.281960784313694</v>
      </c>
      <c r="G340" s="3">
        <v>6.25</v>
      </c>
      <c r="H340" s="2">
        <v>0</v>
      </c>
      <c r="I340" s="63">
        <f t="shared" si="20"/>
        <v>8.0122549019605867</v>
      </c>
      <c r="J340" s="2" t="s">
        <v>10</v>
      </c>
      <c r="K340" s="2" t="s">
        <v>10</v>
      </c>
      <c r="L340" s="2" t="s">
        <v>10</v>
      </c>
      <c r="M340" s="3" t="s">
        <v>14</v>
      </c>
      <c r="N340" s="3" t="s">
        <v>15</v>
      </c>
      <c r="O340" s="202" t="s">
        <v>10</v>
      </c>
      <c r="P340" s="202"/>
      <c r="Q340" s="202"/>
    </row>
    <row r="341" spans="1:17" hidden="1" x14ac:dyDescent="0.3">
      <c r="A341" s="61">
        <v>43343</v>
      </c>
      <c r="B341" s="15" t="s">
        <v>1085</v>
      </c>
      <c r="C341" s="2" t="s">
        <v>1092</v>
      </c>
      <c r="D341" s="2">
        <f>+'FIBRA DIETARIA KIT'!H119</f>
        <v>7.7500000000000568E-2</v>
      </c>
      <c r="E341" s="2">
        <v>0.20399999999999999</v>
      </c>
      <c r="F341" s="3">
        <f t="shared" si="18"/>
        <v>0.368779354838707</v>
      </c>
      <c r="G341" s="3">
        <v>6.25</v>
      </c>
      <c r="H341" s="2">
        <v>0</v>
      </c>
      <c r="I341" s="63">
        <f t="shared" si="20"/>
        <v>2.3048709677419188</v>
      </c>
      <c r="J341" s="2" t="s">
        <v>10</v>
      </c>
      <c r="K341" s="2" t="s">
        <v>10</v>
      </c>
      <c r="L341" s="2" t="s">
        <v>10</v>
      </c>
      <c r="M341" s="3" t="s">
        <v>14</v>
      </c>
      <c r="N341" s="3" t="s">
        <v>15</v>
      </c>
      <c r="O341" s="202" t="s">
        <v>10</v>
      </c>
      <c r="P341" s="202"/>
      <c r="Q341" s="202"/>
    </row>
    <row r="342" spans="1:17" hidden="1" x14ac:dyDescent="0.3">
      <c r="A342" s="61">
        <v>43343</v>
      </c>
      <c r="B342" s="15" t="s">
        <v>1081</v>
      </c>
      <c r="C342" s="2" t="s">
        <v>1093</v>
      </c>
      <c r="D342" s="2">
        <f>+'FIBRA DIETARIA KIT'!H121</f>
        <v>0.43870000000000431</v>
      </c>
      <c r="E342" s="2">
        <v>5.2480000000000002</v>
      </c>
      <c r="F342" s="3">
        <f t="shared" si="18"/>
        <v>1.6759626168224135</v>
      </c>
      <c r="G342" s="3">
        <v>6.25</v>
      </c>
      <c r="H342" s="2">
        <v>0</v>
      </c>
      <c r="I342" s="63">
        <f t="shared" si="20"/>
        <v>10.474766355140085</v>
      </c>
      <c r="J342" s="2" t="s">
        <v>10</v>
      </c>
      <c r="K342" s="2" t="s">
        <v>10</v>
      </c>
      <c r="L342" s="2" t="s">
        <v>10</v>
      </c>
      <c r="M342" s="3" t="s">
        <v>14</v>
      </c>
      <c r="N342" s="3" t="s">
        <v>15</v>
      </c>
      <c r="O342" s="202" t="s">
        <v>10</v>
      </c>
      <c r="P342" s="202"/>
      <c r="Q342" s="202"/>
    </row>
    <row r="343" spans="1:17" hidden="1" x14ac:dyDescent="0.3">
      <c r="A343" s="61">
        <v>43348</v>
      </c>
      <c r="B343" s="15" t="s">
        <v>1083</v>
      </c>
      <c r="C343" s="2" t="s">
        <v>1094</v>
      </c>
      <c r="D343" s="2">
        <f>+'FIBRA DIETARIA KIT'!H123</f>
        <v>0.18330000000000268</v>
      </c>
      <c r="E343" s="2">
        <v>14.452999999999999</v>
      </c>
      <c r="F343" s="3">
        <f t="shared" si="18"/>
        <v>11.046728314238791</v>
      </c>
      <c r="G343" s="3">
        <v>6.25</v>
      </c>
      <c r="H343" s="2">
        <v>0</v>
      </c>
      <c r="I343" s="63">
        <f t="shared" si="20"/>
        <v>69.042051963992449</v>
      </c>
      <c r="J343" s="2" t="s">
        <v>10</v>
      </c>
      <c r="K343" s="2" t="s">
        <v>10</v>
      </c>
      <c r="L343" s="2" t="s">
        <v>10</v>
      </c>
      <c r="M343" s="3" t="s">
        <v>14</v>
      </c>
      <c r="N343" s="3" t="s">
        <v>15</v>
      </c>
      <c r="O343" s="202" t="s">
        <v>10</v>
      </c>
      <c r="P343" s="202"/>
      <c r="Q343" s="202"/>
    </row>
    <row r="344" spans="1:17" hidden="1" x14ac:dyDescent="0.3">
      <c r="A344" s="61">
        <v>43348</v>
      </c>
      <c r="B344" s="15" t="s">
        <v>1087</v>
      </c>
      <c r="C344" s="2" t="s">
        <v>1095</v>
      </c>
      <c r="D344" s="2">
        <f>+'FIBRA DIETARIA KIT'!H125</f>
        <v>0.19480000000000075</v>
      </c>
      <c r="E344" s="2">
        <v>2.8820000000000001</v>
      </c>
      <c r="F344" s="3">
        <f t="shared" si="18"/>
        <v>2.0727320328542014</v>
      </c>
      <c r="G344" s="3">
        <v>6.25</v>
      </c>
      <c r="H344" s="2">
        <v>0</v>
      </c>
      <c r="I344" s="63">
        <f t="shared" si="20"/>
        <v>12.95457520533876</v>
      </c>
      <c r="J344" s="2" t="s">
        <v>10</v>
      </c>
      <c r="K344" s="2" t="s">
        <v>10</v>
      </c>
      <c r="L344" s="2" t="s">
        <v>10</v>
      </c>
      <c r="M344" s="3" t="s">
        <v>14</v>
      </c>
      <c r="N344" s="3" t="s">
        <v>15</v>
      </c>
      <c r="O344" s="202" t="s">
        <v>10</v>
      </c>
      <c r="P344" s="202"/>
      <c r="Q344" s="202"/>
    </row>
    <row r="345" spans="1:17" hidden="1" x14ac:dyDescent="0.3">
      <c r="A345" s="61">
        <v>43348</v>
      </c>
      <c r="B345" s="15" t="s">
        <v>1089</v>
      </c>
      <c r="C345" s="2" t="s">
        <v>1088</v>
      </c>
      <c r="D345" s="2">
        <v>1.0008999999999999</v>
      </c>
      <c r="E345" s="2">
        <v>8.4580000000000002</v>
      </c>
      <c r="F345" s="3">
        <f t="shared" si="18"/>
        <v>1.183900289739235</v>
      </c>
      <c r="G345" s="3">
        <v>6.25</v>
      </c>
      <c r="H345" s="2">
        <v>0</v>
      </c>
      <c r="I345" s="63">
        <f t="shared" si="20"/>
        <v>7.3993768108702191</v>
      </c>
      <c r="J345" s="204">
        <f>+AVERAGE(I345:I346)</f>
        <v>7.4968631656269569</v>
      </c>
      <c r="K345" s="202">
        <f>+STDEVA(I345:I346)</f>
        <v>0.13786652504329275</v>
      </c>
      <c r="L345" s="202">
        <f>+(K345/J345)*100</f>
        <v>1.8389894812994505</v>
      </c>
      <c r="M345" s="3" t="s">
        <v>14</v>
      </c>
      <c r="N345" s="3" t="s">
        <v>15</v>
      </c>
      <c r="O345" s="202" t="s">
        <v>10</v>
      </c>
      <c r="P345" s="202"/>
      <c r="Q345" s="202"/>
    </row>
    <row r="346" spans="1:17" hidden="1" x14ac:dyDescent="0.3">
      <c r="A346" s="61">
        <v>43348</v>
      </c>
      <c r="B346" s="15" t="s">
        <v>1089</v>
      </c>
      <c r="C346" s="2" t="s">
        <v>1088</v>
      </c>
      <c r="D346" s="2">
        <v>1.0007999999999999</v>
      </c>
      <c r="E346" s="2">
        <v>8.68</v>
      </c>
      <c r="F346" s="3">
        <f t="shared" si="18"/>
        <v>1.2150959232613909</v>
      </c>
      <c r="G346" s="3">
        <v>6.25</v>
      </c>
      <c r="H346" s="2">
        <v>0</v>
      </c>
      <c r="I346" s="63">
        <f t="shared" si="20"/>
        <v>7.5943495203836937</v>
      </c>
      <c r="J346" s="204"/>
      <c r="K346" s="202"/>
      <c r="L346" s="202"/>
      <c r="M346" s="3" t="s">
        <v>14</v>
      </c>
      <c r="N346" s="3" t="s">
        <v>15</v>
      </c>
      <c r="O346" s="202" t="s">
        <v>10</v>
      </c>
      <c r="P346" s="202"/>
      <c r="Q346" s="202"/>
    </row>
    <row r="347" spans="1:17" hidden="1" x14ac:dyDescent="0.3">
      <c r="A347" s="61">
        <v>43348</v>
      </c>
      <c r="B347" s="15" t="s">
        <v>1083</v>
      </c>
      <c r="C347" s="2" t="s">
        <v>1084</v>
      </c>
      <c r="D347" s="2">
        <v>1.0008999999999999</v>
      </c>
      <c r="E347" s="2">
        <v>14.36</v>
      </c>
      <c r="F347" s="3">
        <f t="shared" si="18"/>
        <v>2.0100269757218507</v>
      </c>
      <c r="G347" s="3">
        <v>6.25</v>
      </c>
      <c r="H347" s="2">
        <v>0</v>
      </c>
      <c r="I347" s="63">
        <f t="shared" si="20"/>
        <v>12.562668598261567</v>
      </c>
      <c r="J347" s="204">
        <f>+AVERAGE(I347:I348)</f>
        <v>12.575682125217741</v>
      </c>
      <c r="K347" s="202">
        <f>+STDEVA(I347:I348)</f>
        <v>1.8403906315728778E-2</v>
      </c>
      <c r="L347" s="202">
        <f>+(K347/J347)*100</f>
        <v>0.14634519330624479</v>
      </c>
      <c r="M347" s="3" t="s">
        <v>14</v>
      </c>
      <c r="N347" s="3" t="s">
        <v>15</v>
      </c>
      <c r="O347" s="202" t="s">
        <v>10</v>
      </c>
      <c r="P347" s="202"/>
      <c r="Q347" s="202"/>
    </row>
    <row r="348" spans="1:17" hidden="1" x14ac:dyDescent="0.3">
      <c r="A348" s="61">
        <v>43348</v>
      </c>
      <c r="B348" s="15" t="s">
        <v>1083</v>
      </c>
      <c r="C348" s="2" t="s">
        <v>1084</v>
      </c>
      <c r="D348" s="2">
        <v>1.0004999999999999</v>
      </c>
      <c r="E348" s="2">
        <v>14.384</v>
      </c>
      <c r="F348" s="3">
        <f t="shared" si="18"/>
        <v>2.0141913043478263</v>
      </c>
      <c r="G348" s="3">
        <v>6.25</v>
      </c>
      <c r="H348" s="2">
        <v>0</v>
      </c>
      <c r="I348" s="63">
        <f t="shared" si="20"/>
        <v>12.588695652173914</v>
      </c>
      <c r="J348" s="204"/>
      <c r="K348" s="202"/>
      <c r="L348" s="202"/>
      <c r="M348" s="3" t="s">
        <v>14</v>
      </c>
      <c r="N348" s="3" t="s">
        <v>15</v>
      </c>
      <c r="O348" s="202" t="s">
        <v>10</v>
      </c>
      <c r="P348" s="202"/>
      <c r="Q348" s="202"/>
    </row>
    <row r="349" spans="1:17" hidden="1" x14ac:dyDescent="0.3">
      <c r="A349" s="61">
        <v>43343</v>
      </c>
      <c r="B349" s="3" t="s">
        <v>1096</v>
      </c>
      <c r="C349" s="2" t="s">
        <v>1103</v>
      </c>
      <c r="D349" s="2">
        <v>1.0005999999999999</v>
      </c>
      <c r="E349" s="2">
        <v>36.265999999999998</v>
      </c>
      <c r="F349" s="3">
        <f t="shared" si="18"/>
        <v>5.077819908055166</v>
      </c>
      <c r="G349" s="3">
        <v>6.25</v>
      </c>
      <c r="H349" s="2">
        <v>0</v>
      </c>
      <c r="I349" s="63">
        <f t="shared" si="20"/>
        <v>31.736374425344788</v>
      </c>
      <c r="J349" s="2" t="s">
        <v>10</v>
      </c>
      <c r="K349" s="2" t="s">
        <v>10</v>
      </c>
      <c r="L349" s="2" t="s">
        <v>10</v>
      </c>
      <c r="M349" s="3" t="s">
        <v>14</v>
      </c>
      <c r="N349" s="3" t="s">
        <v>15</v>
      </c>
      <c r="O349" s="202" t="s">
        <v>10</v>
      </c>
      <c r="P349" s="202"/>
      <c r="Q349" s="202"/>
    </row>
    <row r="350" spans="1:17" hidden="1" x14ac:dyDescent="0.3">
      <c r="A350" s="61">
        <v>43343</v>
      </c>
      <c r="B350" s="3" t="s">
        <v>1097</v>
      </c>
      <c r="C350" s="2" t="s">
        <v>1104</v>
      </c>
      <c r="D350" s="2">
        <v>1.0008999999999999</v>
      </c>
      <c r="E350" s="2">
        <v>18.867999999999999</v>
      </c>
      <c r="F350" s="3">
        <f t="shared" si="18"/>
        <v>2.6410298731141975</v>
      </c>
      <c r="G350" s="3">
        <v>6.25</v>
      </c>
      <c r="H350" s="2">
        <v>0</v>
      </c>
      <c r="I350" s="63">
        <f t="shared" si="20"/>
        <v>16.506436706963733</v>
      </c>
      <c r="J350" s="2" t="s">
        <v>10</v>
      </c>
      <c r="K350" s="2" t="s">
        <v>10</v>
      </c>
      <c r="L350" s="2" t="s">
        <v>10</v>
      </c>
      <c r="M350" s="3" t="s">
        <v>14</v>
      </c>
      <c r="N350" s="3" t="s">
        <v>15</v>
      </c>
      <c r="O350" s="202" t="s">
        <v>10</v>
      </c>
      <c r="P350" s="202"/>
      <c r="Q350" s="202"/>
    </row>
    <row r="351" spans="1:17" hidden="1" x14ac:dyDescent="0.3">
      <c r="A351" s="61">
        <v>43343</v>
      </c>
      <c r="B351" s="3" t="s">
        <v>1098</v>
      </c>
      <c r="C351" s="2" t="s">
        <v>1105</v>
      </c>
      <c r="D351" s="2">
        <v>1.0007999999999999</v>
      </c>
      <c r="E351" s="2">
        <v>18.84</v>
      </c>
      <c r="F351" s="3">
        <f t="shared" si="18"/>
        <v>2.6373741007194247</v>
      </c>
      <c r="G351" s="3">
        <v>6.25</v>
      </c>
      <c r="H351" s="2">
        <v>0</v>
      </c>
      <c r="I351" s="63">
        <f t="shared" si="20"/>
        <v>16.483588129496404</v>
      </c>
      <c r="J351" s="2" t="s">
        <v>10</v>
      </c>
      <c r="K351" s="2" t="s">
        <v>10</v>
      </c>
      <c r="L351" s="2" t="s">
        <v>10</v>
      </c>
      <c r="M351" s="3" t="s">
        <v>14</v>
      </c>
      <c r="N351" s="3" t="s">
        <v>15</v>
      </c>
      <c r="O351" s="202" t="s">
        <v>10</v>
      </c>
      <c r="P351" s="202"/>
      <c r="Q351" s="202"/>
    </row>
    <row r="352" spans="1:17" hidden="1" x14ac:dyDescent="0.3">
      <c r="A352" s="61">
        <v>43343</v>
      </c>
      <c r="B352" s="3" t="s">
        <v>1099</v>
      </c>
      <c r="C352" s="2" t="s">
        <v>1106</v>
      </c>
      <c r="D352" s="2">
        <v>1.0003</v>
      </c>
      <c r="E352" s="2">
        <v>0</v>
      </c>
      <c r="F352" s="3">
        <f t="shared" si="18"/>
        <v>0</v>
      </c>
      <c r="G352" s="3">
        <v>6.25</v>
      </c>
      <c r="H352" s="2">
        <v>0</v>
      </c>
      <c r="I352" s="63">
        <f t="shared" si="20"/>
        <v>0</v>
      </c>
      <c r="J352" s="2" t="s">
        <v>10</v>
      </c>
      <c r="K352" s="2" t="s">
        <v>10</v>
      </c>
      <c r="L352" s="2" t="s">
        <v>10</v>
      </c>
      <c r="M352" s="3" t="s">
        <v>14</v>
      </c>
      <c r="N352" s="3" t="s">
        <v>15</v>
      </c>
      <c r="O352" s="202" t="s">
        <v>10</v>
      </c>
      <c r="P352" s="202"/>
      <c r="Q352" s="202"/>
    </row>
    <row r="353" spans="1:17" hidden="1" x14ac:dyDescent="0.3">
      <c r="A353" s="61">
        <v>43343</v>
      </c>
      <c r="B353" s="3" t="s">
        <v>1100</v>
      </c>
      <c r="C353" s="2" t="s">
        <v>1107</v>
      </c>
      <c r="D353" s="2">
        <v>1.0008999999999999</v>
      </c>
      <c r="E353" s="2">
        <v>53.14</v>
      </c>
      <c r="F353" s="3">
        <f t="shared" si="18"/>
        <v>7.4382196023578793</v>
      </c>
      <c r="G353" s="3">
        <v>6.25</v>
      </c>
      <c r="H353" s="2">
        <v>0</v>
      </c>
      <c r="I353" s="63">
        <f t="shared" si="20"/>
        <v>46.488872514736748</v>
      </c>
      <c r="J353" s="2" t="s">
        <v>10</v>
      </c>
      <c r="K353" s="2" t="s">
        <v>10</v>
      </c>
      <c r="L353" s="2" t="s">
        <v>10</v>
      </c>
      <c r="M353" s="3" t="s">
        <v>14</v>
      </c>
      <c r="N353" s="3" t="s">
        <v>15</v>
      </c>
      <c r="O353" s="202" t="s">
        <v>10</v>
      </c>
      <c r="P353" s="202"/>
      <c r="Q353" s="202"/>
    </row>
    <row r="354" spans="1:17" hidden="1" x14ac:dyDescent="0.3">
      <c r="A354" s="61">
        <v>43343</v>
      </c>
      <c r="B354" s="3" t="s">
        <v>1101</v>
      </c>
      <c r="C354" s="2" t="s">
        <v>1108</v>
      </c>
      <c r="D354" s="2">
        <v>1.0004999999999999</v>
      </c>
      <c r="E354" s="2">
        <v>8.32</v>
      </c>
      <c r="F354" s="3">
        <f t="shared" si="18"/>
        <v>1.165049475262369</v>
      </c>
      <c r="G354" s="3">
        <v>6.25</v>
      </c>
      <c r="H354" s="2">
        <v>0</v>
      </c>
      <c r="I354" s="63">
        <f t="shared" si="20"/>
        <v>7.2815592203898065</v>
      </c>
      <c r="J354" s="2" t="s">
        <v>10</v>
      </c>
      <c r="K354" s="2" t="s">
        <v>10</v>
      </c>
      <c r="L354" s="2" t="s">
        <v>10</v>
      </c>
      <c r="M354" s="3" t="s">
        <v>14</v>
      </c>
      <c r="N354" s="3" t="s">
        <v>15</v>
      </c>
      <c r="O354" s="202" t="s">
        <v>10</v>
      </c>
      <c r="P354" s="202"/>
      <c r="Q354" s="202"/>
    </row>
    <row r="355" spans="1:17" hidden="1" x14ac:dyDescent="0.3">
      <c r="A355" s="61">
        <v>43343</v>
      </c>
      <c r="B355" s="3" t="s">
        <v>1102</v>
      </c>
      <c r="C355" s="2" t="s">
        <v>1109</v>
      </c>
      <c r="D355" s="2">
        <v>1.0004999999999999</v>
      </c>
      <c r="E355" s="2">
        <v>0</v>
      </c>
      <c r="F355" s="3">
        <f t="shared" si="18"/>
        <v>0</v>
      </c>
      <c r="G355" s="3">
        <v>6.25</v>
      </c>
      <c r="H355" s="2">
        <v>0</v>
      </c>
      <c r="I355" s="63">
        <f t="shared" si="20"/>
        <v>0</v>
      </c>
      <c r="J355" s="2" t="s">
        <v>10</v>
      </c>
      <c r="K355" s="2" t="s">
        <v>10</v>
      </c>
      <c r="L355" s="2" t="s">
        <v>10</v>
      </c>
      <c r="M355" s="3" t="s">
        <v>14</v>
      </c>
      <c r="N355" s="3" t="s">
        <v>15</v>
      </c>
      <c r="O355" s="202" t="s">
        <v>10</v>
      </c>
      <c r="P355" s="202"/>
      <c r="Q355" s="202"/>
    </row>
    <row r="356" spans="1:17" hidden="1" x14ac:dyDescent="0.3">
      <c r="A356" s="61">
        <v>43348</v>
      </c>
      <c r="B356" s="3" t="s">
        <v>1063</v>
      </c>
      <c r="C356" s="2" t="s">
        <v>1062</v>
      </c>
      <c r="D356" s="2">
        <v>1.0003</v>
      </c>
      <c r="E356" s="2">
        <v>0.252</v>
      </c>
      <c r="F356" s="3">
        <f t="shared" si="18"/>
        <v>3.5294611616515044E-2</v>
      </c>
      <c r="G356" s="3">
        <v>6.25</v>
      </c>
      <c r="H356" s="2">
        <v>0</v>
      </c>
      <c r="I356" s="63">
        <f t="shared" si="20"/>
        <v>0.22059132260321904</v>
      </c>
      <c r="J356" s="2" t="s">
        <v>10</v>
      </c>
      <c r="K356" s="2" t="s">
        <v>10</v>
      </c>
      <c r="L356" s="2" t="s">
        <v>10</v>
      </c>
      <c r="M356" s="3" t="s">
        <v>14</v>
      </c>
      <c r="N356" s="3" t="s">
        <v>15</v>
      </c>
      <c r="O356" s="202" t="s">
        <v>10</v>
      </c>
      <c r="P356" s="202"/>
      <c r="Q356" s="202"/>
    </row>
    <row r="357" spans="1:17" hidden="1" x14ac:dyDescent="0.3">
      <c r="A357" s="61">
        <v>43348</v>
      </c>
      <c r="B357" s="3" t="s">
        <v>1065</v>
      </c>
      <c r="C357" s="2" t="s">
        <v>1064</v>
      </c>
      <c r="D357" s="2">
        <v>1.0004</v>
      </c>
      <c r="E357" s="2">
        <v>0.248</v>
      </c>
      <c r="F357" s="3">
        <f t="shared" si="18"/>
        <v>3.4730907636945224E-2</v>
      </c>
      <c r="G357" s="3">
        <v>6.25</v>
      </c>
      <c r="H357" s="2">
        <v>0</v>
      </c>
      <c r="I357" s="63">
        <f t="shared" si="20"/>
        <v>0.21706817273090764</v>
      </c>
      <c r="J357" s="2" t="s">
        <v>10</v>
      </c>
      <c r="K357" s="2" t="s">
        <v>10</v>
      </c>
      <c r="L357" s="2" t="s">
        <v>10</v>
      </c>
      <c r="M357" s="3" t="s">
        <v>14</v>
      </c>
      <c r="N357" s="3" t="s">
        <v>15</v>
      </c>
      <c r="O357" s="202" t="s">
        <v>10</v>
      </c>
      <c r="P357" s="202"/>
      <c r="Q357" s="202"/>
    </row>
    <row r="358" spans="1:17" hidden="1" x14ac:dyDescent="0.3">
      <c r="A358" s="61">
        <v>43348</v>
      </c>
      <c r="B358" s="3" t="s">
        <v>1111</v>
      </c>
      <c r="C358" s="2" t="s">
        <v>1110</v>
      </c>
      <c r="D358" s="2">
        <v>1.0004999999999999</v>
      </c>
      <c r="E358" s="2">
        <v>0.25600000000000001</v>
      </c>
      <c r="F358" s="3">
        <f t="shared" si="18"/>
        <v>3.584767616191905E-2</v>
      </c>
      <c r="G358" s="3">
        <v>6.25</v>
      </c>
      <c r="H358" s="2">
        <v>0</v>
      </c>
      <c r="I358" s="63">
        <f t="shared" si="20"/>
        <v>0.22404797601199405</v>
      </c>
      <c r="J358" s="2" t="s">
        <v>10</v>
      </c>
      <c r="K358" s="2" t="s">
        <v>10</v>
      </c>
      <c r="L358" s="2" t="s">
        <v>10</v>
      </c>
      <c r="M358" s="3" t="s">
        <v>14</v>
      </c>
      <c r="N358" s="3" t="s">
        <v>15</v>
      </c>
      <c r="O358" s="202" t="s">
        <v>10</v>
      </c>
      <c r="P358" s="202"/>
      <c r="Q358" s="202"/>
    </row>
    <row r="359" spans="1:17" hidden="1" x14ac:dyDescent="0.3">
      <c r="A359" s="61">
        <v>43348</v>
      </c>
      <c r="B359" s="3" t="s">
        <v>1112</v>
      </c>
      <c r="C359" s="2" t="s">
        <v>1113</v>
      </c>
      <c r="D359" s="2">
        <v>1.0005999999999999</v>
      </c>
      <c r="E359" s="2">
        <v>0.26200000000000001</v>
      </c>
      <c r="F359" s="3">
        <f t="shared" si="18"/>
        <v>3.6684189486308215E-2</v>
      </c>
      <c r="G359" s="3">
        <v>6.25</v>
      </c>
      <c r="H359" s="2">
        <v>0</v>
      </c>
      <c r="I359" s="63">
        <f t="shared" si="20"/>
        <v>0.22927618428942634</v>
      </c>
      <c r="J359" s="204">
        <f>+AVERAGE(I359:I360)</f>
        <v>0.22317217851016699</v>
      </c>
      <c r="K359" s="202">
        <f>+STDEVA(I359:I360)</f>
        <v>8.6323677578323214E-3</v>
      </c>
      <c r="L359" s="202">
        <f>+(K359/J359)*100</f>
        <v>3.8680304218292418</v>
      </c>
      <c r="M359" s="3" t="s">
        <v>14</v>
      </c>
      <c r="N359" s="3" t="s">
        <v>15</v>
      </c>
      <c r="O359" s="202" t="s">
        <v>10</v>
      </c>
      <c r="P359" s="202"/>
      <c r="Q359" s="202"/>
    </row>
    <row r="360" spans="1:17" hidden="1" x14ac:dyDescent="0.3">
      <c r="A360" s="61">
        <v>43348</v>
      </c>
      <c r="B360" s="3" t="s">
        <v>1112</v>
      </c>
      <c r="C360" s="2" t="s">
        <v>1113</v>
      </c>
      <c r="D360" s="2">
        <v>1.0004</v>
      </c>
      <c r="E360" s="2">
        <v>0.248</v>
      </c>
      <c r="F360" s="3">
        <f t="shared" si="18"/>
        <v>3.4730907636945224E-2</v>
      </c>
      <c r="G360" s="3">
        <v>6.25</v>
      </c>
      <c r="H360" s="2">
        <v>0</v>
      </c>
      <c r="I360" s="63">
        <f t="shared" si="20"/>
        <v>0.21706817273090764</v>
      </c>
      <c r="J360" s="204"/>
      <c r="K360" s="202"/>
      <c r="L360" s="202"/>
      <c r="M360" s="3" t="s">
        <v>14</v>
      </c>
      <c r="N360" s="3" t="s">
        <v>15</v>
      </c>
      <c r="O360" s="202" t="s">
        <v>10</v>
      </c>
      <c r="P360" s="202"/>
      <c r="Q360" s="202"/>
    </row>
    <row r="361" spans="1:17" hidden="1" x14ac:dyDescent="0.3">
      <c r="A361" s="61">
        <v>43348</v>
      </c>
      <c r="B361" s="3" t="s">
        <v>1067</v>
      </c>
      <c r="C361" s="2" t="s">
        <v>1066</v>
      </c>
      <c r="D361" s="2">
        <v>1.0005999999999999</v>
      </c>
      <c r="E361" s="2">
        <v>8.3179999999999996</v>
      </c>
      <c r="F361" s="3">
        <f t="shared" si="18"/>
        <v>1.164653008195083</v>
      </c>
      <c r="G361" s="3">
        <v>6.25</v>
      </c>
      <c r="H361" s="2">
        <v>0</v>
      </c>
      <c r="I361" s="63">
        <f t="shared" si="20"/>
        <v>7.2790813012192688</v>
      </c>
      <c r="J361" s="2" t="s">
        <v>10</v>
      </c>
      <c r="K361" s="2"/>
      <c r="L361" s="2"/>
      <c r="M361" s="3" t="s">
        <v>14</v>
      </c>
      <c r="N361" s="3" t="s">
        <v>15</v>
      </c>
      <c r="O361" s="202" t="s">
        <v>10</v>
      </c>
      <c r="P361" s="202"/>
      <c r="Q361" s="202"/>
    </row>
    <row r="362" spans="1:17" hidden="1" x14ac:dyDescent="0.3">
      <c r="A362" s="61">
        <v>43348</v>
      </c>
      <c r="B362" s="3" t="s">
        <v>1114</v>
      </c>
      <c r="C362" s="2" t="s">
        <v>1115</v>
      </c>
      <c r="D362" s="2">
        <v>1.0006999999999999</v>
      </c>
      <c r="E362" s="2">
        <v>8.4019999999999992</v>
      </c>
      <c r="F362" s="3">
        <f t="shared" si="18"/>
        <v>1.1762967922454282</v>
      </c>
      <c r="G362" s="3">
        <v>6.25</v>
      </c>
      <c r="H362" s="2">
        <v>0</v>
      </c>
      <c r="I362" s="63">
        <f t="shared" ref="I362:I386" si="21">+F362*G362</f>
        <v>7.3518549515339258</v>
      </c>
      <c r="J362" s="2" t="s">
        <v>10</v>
      </c>
      <c r="K362" s="2"/>
      <c r="L362" s="2"/>
      <c r="M362" s="3" t="s">
        <v>14</v>
      </c>
      <c r="N362" s="3" t="s">
        <v>15</v>
      </c>
      <c r="O362" s="202" t="s">
        <v>10</v>
      </c>
      <c r="P362" s="202"/>
      <c r="Q362" s="202"/>
    </row>
    <row r="363" spans="1:17" hidden="1" x14ac:dyDescent="0.3">
      <c r="A363" s="61">
        <v>43348</v>
      </c>
      <c r="B363" s="3" t="s">
        <v>1116</v>
      </c>
      <c r="C363" s="2" t="s">
        <v>1117</v>
      </c>
      <c r="D363" s="2">
        <v>1.0004</v>
      </c>
      <c r="E363" s="2">
        <v>58.36</v>
      </c>
      <c r="F363" s="3">
        <f t="shared" si="18"/>
        <v>8.1729668132746909</v>
      </c>
      <c r="G363" s="3">
        <v>6.25</v>
      </c>
      <c r="H363" s="2">
        <v>0</v>
      </c>
      <c r="I363" s="63">
        <f t="shared" si="21"/>
        <v>51.081042582966816</v>
      </c>
      <c r="J363" s="204">
        <f>+AVERAGE(I363:I364)</f>
        <v>51.07068694209304</v>
      </c>
      <c r="K363" s="202">
        <f>+STDEVA(I363:I364)</f>
        <v>1.4645087770759102E-2</v>
      </c>
      <c r="L363" s="202">
        <f>+(K363/J363)*100</f>
        <v>2.8676112752046134E-2</v>
      </c>
      <c r="M363" s="3" t="s">
        <v>14</v>
      </c>
      <c r="N363" s="3" t="s">
        <v>15</v>
      </c>
      <c r="O363" s="202" t="s">
        <v>10</v>
      </c>
      <c r="P363" s="202"/>
      <c r="Q363" s="202"/>
    </row>
    <row r="364" spans="1:17" hidden="1" x14ac:dyDescent="0.3">
      <c r="A364" s="61">
        <v>43348</v>
      </c>
      <c r="B364" s="3" t="s">
        <v>1116</v>
      </c>
      <c r="C364" s="2" t="s">
        <v>1117</v>
      </c>
      <c r="D364" s="2">
        <v>1.0005999999999999</v>
      </c>
      <c r="E364" s="2">
        <v>58.347999999999999</v>
      </c>
      <c r="F364" s="3">
        <f t="shared" si="18"/>
        <v>8.1696530081950822</v>
      </c>
      <c r="G364" s="3">
        <v>6.25</v>
      </c>
      <c r="H364" s="2">
        <v>0</v>
      </c>
      <c r="I364" s="63">
        <f t="shared" si="21"/>
        <v>51.060331301219264</v>
      </c>
      <c r="J364" s="204"/>
      <c r="K364" s="202"/>
      <c r="L364" s="202"/>
      <c r="M364" s="3" t="s">
        <v>14</v>
      </c>
      <c r="N364" s="3" t="s">
        <v>15</v>
      </c>
      <c r="O364" s="202" t="s">
        <v>10</v>
      </c>
      <c r="P364" s="202"/>
      <c r="Q364" s="202"/>
    </row>
    <row r="365" spans="1:17" hidden="1" x14ac:dyDescent="0.3">
      <c r="A365" s="61">
        <v>43348</v>
      </c>
      <c r="B365" s="3" t="s">
        <v>1116</v>
      </c>
      <c r="C365" s="2" t="s">
        <v>1118</v>
      </c>
      <c r="D365" s="2">
        <v>1.0008999999999999</v>
      </c>
      <c r="E365" s="2">
        <v>4.8239999999999998</v>
      </c>
      <c r="F365" s="3">
        <f>+E365*0.1*1.401*100/(D365*10)</f>
        <v>6.7523468878009796</v>
      </c>
      <c r="G365" s="3">
        <v>6.25</v>
      </c>
      <c r="H365" s="2">
        <v>0</v>
      </c>
      <c r="I365" s="63">
        <f t="shared" si="21"/>
        <v>42.202168048756121</v>
      </c>
      <c r="J365" s="204">
        <f>+AVERAGE(I365:I366)</f>
        <v>42.088439154760721</v>
      </c>
      <c r="K365" s="202">
        <f>+STDEVA(I365:I366)</f>
        <v>0.16083694432198734</v>
      </c>
      <c r="L365" s="202">
        <f>+(K365/J365)*100</f>
        <v>0.3821404346466355</v>
      </c>
      <c r="M365" s="3" t="s">
        <v>14</v>
      </c>
      <c r="N365" s="3" t="s">
        <v>15</v>
      </c>
      <c r="O365" s="2"/>
      <c r="P365" s="3" t="s">
        <v>529</v>
      </c>
      <c r="Q365" s="2"/>
    </row>
    <row r="366" spans="1:17" hidden="1" x14ac:dyDescent="0.3">
      <c r="A366" s="61">
        <v>43348</v>
      </c>
      <c r="B366" s="3" t="s">
        <v>1116</v>
      </c>
      <c r="C366" s="2" t="s">
        <v>1118</v>
      </c>
      <c r="D366" s="2">
        <v>1.0008999999999999</v>
      </c>
      <c r="E366" s="2">
        <v>4.798</v>
      </c>
      <c r="F366" s="3">
        <f>+E366*0.1*1.401*100/(D366*10)</f>
        <v>6.715953641722451</v>
      </c>
      <c r="G366" s="3">
        <v>6.25</v>
      </c>
      <c r="H366" s="2">
        <v>0</v>
      </c>
      <c r="I366" s="63">
        <f t="shared" si="21"/>
        <v>41.97471026076532</v>
      </c>
      <c r="J366" s="204"/>
      <c r="K366" s="202"/>
      <c r="L366" s="202"/>
      <c r="M366" s="3" t="s">
        <v>14</v>
      </c>
      <c r="N366" s="3" t="s">
        <v>15</v>
      </c>
      <c r="O366" s="2"/>
      <c r="P366" s="3" t="s">
        <v>529</v>
      </c>
      <c r="Q366" s="2"/>
    </row>
    <row r="367" spans="1:17" hidden="1" x14ac:dyDescent="0.3">
      <c r="A367" s="31">
        <v>43348</v>
      </c>
      <c r="B367" s="3" t="s">
        <v>1121</v>
      </c>
      <c r="C367" s="2" t="s">
        <v>1122</v>
      </c>
      <c r="D367" s="2">
        <v>1.0008999999999999</v>
      </c>
      <c r="E367" s="2">
        <v>14.022</v>
      </c>
      <c r="F367" s="3">
        <f t="shared" si="18"/>
        <v>1.9627157558197625</v>
      </c>
      <c r="G367" s="3">
        <v>6.38</v>
      </c>
      <c r="H367" s="2">
        <v>0</v>
      </c>
      <c r="I367" s="63">
        <f t="shared" si="21"/>
        <v>12.522126522130085</v>
      </c>
      <c r="J367" s="204">
        <f>+AVERAGE(I367:I368)</f>
        <v>12.503372802477774</v>
      </c>
      <c r="K367" s="202">
        <f>+STDEVA(I367:I368)</f>
        <v>2.6521764677242769E-2</v>
      </c>
      <c r="L367" s="202">
        <f>+(K367/J367)*100</f>
        <v>0.21211688315001687</v>
      </c>
      <c r="M367" s="3" t="s">
        <v>14</v>
      </c>
      <c r="N367" s="3" t="s">
        <v>15</v>
      </c>
      <c r="O367" s="202" t="s">
        <v>10</v>
      </c>
      <c r="P367" s="202"/>
      <c r="Q367" s="202"/>
    </row>
    <row r="368" spans="1:17" hidden="1" x14ac:dyDescent="0.3">
      <c r="A368" s="31">
        <v>43348</v>
      </c>
      <c r="B368" s="3" t="s">
        <v>1121</v>
      </c>
      <c r="C368" s="2" t="s">
        <v>1122</v>
      </c>
      <c r="D368" s="2">
        <v>1.0008999999999999</v>
      </c>
      <c r="E368" s="2">
        <v>13.98</v>
      </c>
      <c r="F368" s="3">
        <f t="shared" si="18"/>
        <v>1.9568368468378465</v>
      </c>
      <c r="G368" s="3">
        <v>6.38</v>
      </c>
      <c r="H368" s="2">
        <v>0</v>
      </c>
      <c r="I368" s="63">
        <f t="shared" si="21"/>
        <v>12.484619082825461</v>
      </c>
      <c r="J368" s="204"/>
      <c r="K368" s="202"/>
      <c r="L368" s="202"/>
      <c r="M368" s="3" t="s">
        <v>14</v>
      </c>
      <c r="N368" s="3" t="s">
        <v>15</v>
      </c>
      <c r="O368" s="202" t="s">
        <v>10</v>
      </c>
      <c r="P368" s="202"/>
      <c r="Q368" s="202"/>
    </row>
    <row r="369" spans="1:17" hidden="1" x14ac:dyDescent="0.3">
      <c r="A369" s="31">
        <v>43348</v>
      </c>
      <c r="B369" s="3" t="s">
        <v>10</v>
      </c>
      <c r="C369" s="2" t="s">
        <v>1060</v>
      </c>
      <c r="D369" s="2">
        <v>0.18079999999999999</v>
      </c>
      <c r="E369" s="2">
        <v>0.04</v>
      </c>
      <c r="F369" s="3">
        <f t="shared" si="18"/>
        <v>3.0995575221238941E-2</v>
      </c>
      <c r="G369" s="3">
        <v>6.25</v>
      </c>
      <c r="H369" s="2">
        <v>0</v>
      </c>
      <c r="I369" s="63">
        <f t="shared" si="21"/>
        <v>0.19372234513274339</v>
      </c>
      <c r="J369" s="38" t="s">
        <v>10</v>
      </c>
      <c r="K369" s="2" t="s">
        <v>10</v>
      </c>
      <c r="L369" s="2" t="s">
        <v>10</v>
      </c>
      <c r="M369" s="3" t="s">
        <v>14</v>
      </c>
      <c r="N369" s="3" t="s">
        <v>15</v>
      </c>
      <c r="O369" s="279" t="s">
        <v>1119</v>
      </c>
      <c r="P369" s="280"/>
      <c r="Q369" s="281"/>
    </row>
    <row r="370" spans="1:17" hidden="1" x14ac:dyDescent="0.3">
      <c r="A370" s="31">
        <v>43349</v>
      </c>
      <c r="B370" s="3" t="s">
        <v>10</v>
      </c>
      <c r="C370" s="2" t="s">
        <v>837</v>
      </c>
      <c r="D370" s="2">
        <v>0.12089999999999999</v>
      </c>
      <c r="E370" s="2">
        <v>19.047999999999998</v>
      </c>
      <c r="F370" s="3">
        <f t="shared" si="18"/>
        <v>22.072992555831263</v>
      </c>
      <c r="G370" s="3">
        <v>6.25</v>
      </c>
      <c r="H370" s="2">
        <v>0</v>
      </c>
      <c r="I370" s="63">
        <f t="shared" si="21"/>
        <v>137.95620347394538</v>
      </c>
      <c r="J370" s="38" t="s">
        <v>10</v>
      </c>
      <c r="K370" s="2" t="s">
        <v>10</v>
      </c>
      <c r="L370" s="2" t="s">
        <v>10</v>
      </c>
      <c r="M370" s="3" t="s">
        <v>14</v>
      </c>
      <c r="N370" s="3" t="s">
        <v>15</v>
      </c>
      <c r="O370" s="279" t="s">
        <v>1120</v>
      </c>
      <c r="P370" s="280"/>
      <c r="Q370" s="281"/>
    </row>
    <row r="371" spans="1:17" hidden="1" x14ac:dyDescent="0.3">
      <c r="A371" s="31">
        <v>43353</v>
      </c>
      <c r="B371" s="3" t="s">
        <v>960</v>
      </c>
      <c r="C371" s="2" t="s">
        <v>961</v>
      </c>
      <c r="D371" s="2">
        <v>1.0008999999999999</v>
      </c>
      <c r="E371" s="2">
        <v>75.974000000000004</v>
      </c>
      <c r="F371" s="3">
        <f t="shared" si="18"/>
        <v>10.634386452193029</v>
      </c>
      <c r="G371" s="3">
        <v>6.25</v>
      </c>
      <c r="H371" s="2">
        <v>0</v>
      </c>
      <c r="I371" s="63">
        <f t="shared" si="21"/>
        <v>66.464915326206437</v>
      </c>
      <c r="J371" s="204">
        <f t="shared" ref="J371:J379" si="22">+AVERAGE(I371:I372)</f>
        <v>66.695498858983626</v>
      </c>
      <c r="K371" s="202">
        <f>+STDEVA(I371:I372)</f>
        <v>0.32609435931340147</v>
      </c>
      <c r="L371" s="202">
        <f>+(K371/J371)*100</f>
        <v>0.48893008507646513</v>
      </c>
      <c r="M371" s="3" t="s">
        <v>14</v>
      </c>
      <c r="N371" s="3" t="s">
        <v>15</v>
      </c>
      <c r="O371" s="202" t="s">
        <v>10</v>
      </c>
      <c r="P371" s="202"/>
      <c r="Q371" s="202"/>
    </row>
    <row r="372" spans="1:17" hidden="1" x14ac:dyDescent="0.3">
      <c r="A372" s="31">
        <v>43353</v>
      </c>
      <c r="B372" s="3" t="s">
        <v>960</v>
      </c>
      <c r="C372" s="2" t="s">
        <v>961</v>
      </c>
      <c r="D372" s="2">
        <v>1.0001</v>
      </c>
      <c r="E372" s="2">
        <v>76.44</v>
      </c>
      <c r="F372" s="3">
        <f t="shared" si="18"/>
        <v>10.708173182681731</v>
      </c>
      <c r="G372" s="3">
        <v>6.25</v>
      </c>
      <c r="H372" s="2">
        <v>0</v>
      </c>
      <c r="I372" s="63">
        <f t="shared" si="21"/>
        <v>66.926082391760815</v>
      </c>
      <c r="J372" s="204"/>
      <c r="K372" s="202"/>
      <c r="L372" s="202"/>
      <c r="M372" s="3" t="s">
        <v>14</v>
      </c>
      <c r="N372" s="3" t="s">
        <v>15</v>
      </c>
      <c r="O372" s="202" t="s">
        <v>10</v>
      </c>
      <c r="P372" s="202"/>
      <c r="Q372" s="202"/>
    </row>
    <row r="373" spans="1:17" hidden="1" x14ac:dyDescent="0.3">
      <c r="A373" s="31">
        <v>43353</v>
      </c>
      <c r="B373" s="3" t="s">
        <v>1124</v>
      </c>
      <c r="C373" s="2" t="s">
        <v>1123</v>
      </c>
      <c r="D373" s="2">
        <v>1</v>
      </c>
      <c r="E373" s="2">
        <v>6.2779999999999996</v>
      </c>
      <c r="F373" s="3">
        <f t="shared" si="18"/>
        <v>0.8795478000000001</v>
      </c>
      <c r="G373" s="3">
        <v>6.25</v>
      </c>
      <c r="H373" s="2">
        <v>0</v>
      </c>
      <c r="I373" s="63">
        <f t="shared" si="21"/>
        <v>5.4971737500000009</v>
      </c>
      <c r="J373" s="204">
        <f t="shared" si="22"/>
        <v>5.7589581386209145</v>
      </c>
      <c r="K373" s="202">
        <f>+STDEVA(I373:I374)</f>
        <v>0.3702190328052451</v>
      </c>
      <c r="L373" s="202">
        <f>+(K373/J373)*100</f>
        <v>6.4285765566252344</v>
      </c>
      <c r="M373" s="3" t="s">
        <v>14</v>
      </c>
      <c r="N373" s="3" t="s">
        <v>15</v>
      </c>
      <c r="O373" s="202" t="s">
        <v>10</v>
      </c>
      <c r="P373" s="202"/>
      <c r="Q373" s="202"/>
    </row>
    <row r="374" spans="1:17" hidden="1" x14ac:dyDescent="0.3">
      <c r="A374" s="31">
        <v>43353</v>
      </c>
      <c r="B374" s="3" t="s">
        <v>1124</v>
      </c>
      <c r="C374" s="2" t="s">
        <v>1123</v>
      </c>
      <c r="D374" s="2">
        <v>1.0003</v>
      </c>
      <c r="E374" s="2">
        <v>6.8780000000000001</v>
      </c>
      <c r="F374" s="3">
        <f t="shared" si="18"/>
        <v>0.96331880435869255</v>
      </c>
      <c r="G374" s="3">
        <v>6.25</v>
      </c>
      <c r="H374" s="2">
        <v>0</v>
      </c>
      <c r="I374" s="63">
        <f t="shared" si="21"/>
        <v>6.0207425272418282</v>
      </c>
      <c r="J374" s="204"/>
      <c r="K374" s="202"/>
      <c r="L374" s="202"/>
      <c r="M374" s="3" t="s">
        <v>14</v>
      </c>
      <c r="N374" s="3" t="s">
        <v>15</v>
      </c>
      <c r="O374" s="202" t="s">
        <v>10</v>
      </c>
      <c r="P374" s="202"/>
      <c r="Q374" s="202"/>
    </row>
    <row r="375" spans="1:17" hidden="1" x14ac:dyDescent="0.3">
      <c r="A375" s="31">
        <v>43353</v>
      </c>
      <c r="B375" s="3" t="s">
        <v>1125</v>
      </c>
      <c r="C375" s="2" t="s">
        <v>1126</v>
      </c>
      <c r="D375" s="2">
        <v>1.0008999999999999</v>
      </c>
      <c r="E375" s="2">
        <v>15.396000000000001</v>
      </c>
      <c r="F375" s="3">
        <f t="shared" si="18"/>
        <v>2.1550400639424523</v>
      </c>
      <c r="G375" s="3">
        <v>6.25</v>
      </c>
      <c r="H375" s="2">
        <v>0</v>
      </c>
      <c r="I375" s="63">
        <f t="shared" si="21"/>
        <v>13.469000399640327</v>
      </c>
      <c r="J375" s="204">
        <f t="shared" si="22"/>
        <v>13.507575537151499</v>
      </c>
      <c r="K375" s="202">
        <f>+STDEVA(I375:I376)</f>
        <v>5.4553482638706602E-2</v>
      </c>
      <c r="L375" s="202">
        <f>+(K375/J375)*100</f>
        <v>0.40387323756703514</v>
      </c>
      <c r="M375" s="3" t="s">
        <v>14</v>
      </c>
      <c r="N375" s="3" t="s">
        <v>15</v>
      </c>
      <c r="O375" s="202" t="s">
        <v>10</v>
      </c>
      <c r="P375" s="202"/>
      <c r="Q375" s="202"/>
    </row>
    <row r="376" spans="1:17" hidden="1" x14ac:dyDescent="0.3">
      <c r="A376" s="31">
        <v>43353</v>
      </c>
      <c r="B376" s="3" t="s">
        <v>1125</v>
      </c>
      <c r="C376" s="2" t="s">
        <v>1126</v>
      </c>
      <c r="D376" s="2">
        <v>1.0004999999999999</v>
      </c>
      <c r="E376" s="2">
        <v>15.478</v>
      </c>
      <c r="F376" s="3">
        <f t="shared" si="18"/>
        <v>2.1673841079460274</v>
      </c>
      <c r="G376" s="3">
        <v>6.25</v>
      </c>
      <c r="H376" s="2">
        <v>0</v>
      </c>
      <c r="I376" s="63">
        <f t="shared" si="21"/>
        <v>13.546150674662671</v>
      </c>
      <c r="J376" s="204"/>
      <c r="K376" s="202"/>
      <c r="L376" s="202"/>
      <c r="M376" s="3" t="s">
        <v>14</v>
      </c>
      <c r="N376" s="3" t="s">
        <v>15</v>
      </c>
      <c r="O376" s="202" t="s">
        <v>10</v>
      </c>
      <c r="P376" s="202"/>
      <c r="Q376" s="202"/>
    </row>
    <row r="377" spans="1:17" hidden="1" x14ac:dyDescent="0.3">
      <c r="A377" s="31">
        <v>43353</v>
      </c>
      <c r="B377" s="3" t="s">
        <v>1127</v>
      </c>
      <c r="C377" s="2" t="s">
        <v>1128</v>
      </c>
      <c r="D377" s="2">
        <v>1.0004</v>
      </c>
      <c r="E377" s="2">
        <v>0.14799999999999999</v>
      </c>
      <c r="F377" s="3">
        <f t="shared" si="18"/>
        <v>2.0726509396241505E-2</v>
      </c>
      <c r="G377" s="3">
        <v>6.25</v>
      </c>
      <c r="H377" s="2">
        <v>0</v>
      </c>
      <c r="I377" s="63">
        <f t="shared" si="21"/>
        <v>0.1295406837265094</v>
      </c>
      <c r="J377" s="204">
        <f t="shared" si="22"/>
        <v>0.11903196105365951</v>
      </c>
      <c r="K377" s="202">
        <f>+STDEVA(I377:I378)</f>
        <v>1.4861578127161958E-2</v>
      </c>
      <c r="L377" s="202">
        <f>+(K377/J377)*100</f>
        <v>12.485367791649145</v>
      </c>
      <c r="M377" s="3" t="s">
        <v>14</v>
      </c>
      <c r="N377" s="3" t="s">
        <v>15</v>
      </c>
      <c r="O377" s="202" t="s">
        <v>10</v>
      </c>
      <c r="P377" s="202"/>
      <c r="Q377" s="202"/>
    </row>
    <row r="378" spans="1:17" hidden="1" x14ac:dyDescent="0.3">
      <c r="A378" s="31">
        <v>43353</v>
      </c>
      <c r="B378" s="3" t="s">
        <v>1127</v>
      </c>
      <c r="C378" s="2" t="s">
        <v>1128</v>
      </c>
      <c r="D378" s="2">
        <v>1.0004999999999999</v>
      </c>
      <c r="E378" s="2">
        <v>0.124</v>
      </c>
      <c r="F378" s="3">
        <f t="shared" si="18"/>
        <v>1.7363718140929539E-2</v>
      </c>
      <c r="G378" s="3">
        <v>6.25</v>
      </c>
      <c r="H378" s="2">
        <v>0</v>
      </c>
      <c r="I378" s="63">
        <f t="shared" si="21"/>
        <v>0.10852323838080961</v>
      </c>
      <c r="J378" s="204"/>
      <c r="K378" s="202"/>
      <c r="L378" s="202"/>
      <c r="M378" s="3" t="s">
        <v>14</v>
      </c>
      <c r="N378" s="3" t="s">
        <v>15</v>
      </c>
      <c r="O378" s="202" t="s">
        <v>10</v>
      </c>
      <c r="P378" s="202"/>
      <c r="Q378" s="202"/>
    </row>
    <row r="379" spans="1:17" hidden="1" x14ac:dyDescent="0.3">
      <c r="A379" s="31">
        <v>43353</v>
      </c>
      <c r="B379" s="3" t="s">
        <v>1130</v>
      </c>
      <c r="C379" s="2" t="s">
        <v>1129</v>
      </c>
      <c r="D379" s="2">
        <v>1.0004</v>
      </c>
      <c r="E379" s="2">
        <v>39.619999999999997</v>
      </c>
      <c r="F379" s="3">
        <f t="shared" si="18"/>
        <v>5.5485425829668129</v>
      </c>
      <c r="G379" s="3">
        <v>6.25</v>
      </c>
      <c r="H379" s="2">
        <v>0</v>
      </c>
      <c r="I379" s="63">
        <f t="shared" si="21"/>
        <v>34.678391143542584</v>
      </c>
      <c r="J379" s="204">
        <f t="shared" si="22"/>
        <v>34.616364244965418</v>
      </c>
      <c r="K379" s="202">
        <f>+STDEVA(I379:I380)</f>
        <v>8.7719281199768476E-2</v>
      </c>
      <c r="L379" s="202">
        <f>+(K379/J379)*100</f>
        <v>0.25340408535979142</v>
      </c>
      <c r="M379" s="3" t="s">
        <v>14</v>
      </c>
      <c r="N379" s="3" t="s">
        <v>15</v>
      </c>
      <c r="O379" s="202" t="s">
        <v>10</v>
      </c>
      <c r="P379" s="202"/>
      <c r="Q379" s="202"/>
    </row>
    <row r="380" spans="1:17" hidden="1" x14ac:dyDescent="0.3">
      <c r="A380" s="31">
        <v>43353</v>
      </c>
      <c r="B380" s="3" t="s">
        <v>1131</v>
      </c>
      <c r="C380" s="2" t="s">
        <v>1129</v>
      </c>
      <c r="D380" s="2">
        <v>1.0008999999999999</v>
      </c>
      <c r="E380" s="2">
        <v>39.497999999999998</v>
      </c>
      <c r="F380" s="3">
        <f t="shared" si="18"/>
        <v>5.5286939754221205</v>
      </c>
      <c r="G380" s="3">
        <v>6.25</v>
      </c>
      <c r="H380" s="2">
        <v>0</v>
      </c>
      <c r="I380" s="63">
        <f t="shared" si="21"/>
        <v>34.554337346388252</v>
      </c>
      <c r="J380" s="204"/>
      <c r="K380" s="202"/>
      <c r="L380" s="202"/>
      <c r="M380" s="3" t="s">
        <v>14</v>
      </c>
      <c r="N380" s="3" t="s">
        <v>15</v>
      </c>
      <c r="O380" s="202" t="s">
        <v>10</v>
      </c>
      <c r="P380" s="202"/>
      <c r="Q380" s="202"/>
    </row>
    <row r="381" spans="1:17" hidden="1" x14ac:dyDescent="0.3">
      <c r="A381" s="31">
        <v>43353</v>
      </c>
      <c r="B381" s="3" t="s">
        <v>1139</v>
      </c>
      <c r="C381" s="2" t="s">
        <v>1140</v>
      </c>
      <c r="D381" s="2">
        <v>1.0007999999999999</v>
      </c>
      <c r="E381" s="2">
        <v>0.84799999999999998</v>
      </c>
      <c r="F381" s="3">
        <f t="shared" si="18"/>
        <v>0.11870983213429258</v>
      </c>
      <c r="G381" s="3">
        <v>6.25</v>
      </c>
      <c r="H381" s="2">
        <v>0</v>
      </c>
      <c r="I381" s="63">
        <f t="shared" si="21"/>
        <v>0.74193645083932858</v>
      </c>
      <c r="J381" s="56" t="s">
        <v>10</v>
      </c>
      <c r="K381" s="3" t="s">
        <v>10</v>
      </c>
      <c r="L381" s="3" t="s">
        <v>10</v>
      </c>
      <c r="M381" s="3" t="s">
        <v>14</v>
      </c>
      <c r="N381" s="3" t="s">
        <v>15</v>
      </c>
      <c r="O381" s="202" t="s">
        <v>10</v>
      </c>
      <c r="P381" s="202"/>
      <c r="Q381" s="202"/>
    </row>
    <row r="382" spans="1:17" hidden="1" x14ac:dyDescent="0.3">
      <c r="A382" s="31">
        <v>43353</v>
      </c>
      <c r="B382" s="3" t="s">
        <v>1141</v>
      </c>
      <c r="C382" s="2" t="s">
        <v>1142</v>
      </c>
      <c r="D382" s="2">
        <v>1.0007999999999999</v>
      </c>
      <c r="E382" s="2">
        <v>26.155999999999999</v>
      </c>
      <c r="F382" s="3">
        <f t="shared" si="18"/>
        <v>3.661526378896883</v>
      </c>
      <c r="G382" s="3">
        <v>6.25</v>
      </c>
      <c r="H382" s="2">
        <v>0</v>
      </c>
      <c r="I382" s="63">
        <f t="shared" si="21"/>
        <v>22.88453986810552</v>
      </c>
      <c r="J382" s="56" t="s">
        <v>10</v>
      </c>
      <c r="K382" s="3" t="s">
        <v>10</v>
      </c>
      <c r="L382" s="3" t="s">
        <v>10</v>
      </c>
      <c r="M382" s="3" t="s">
        <v>14</v>
      </c>
      <c r="N382" s="3" t="s">
        <v>15</v>
      </c>
      <c r="O382" s="202" t="s">
        <v>10</v>
      </c>
      <c r="P382" s="202"/>
      <c r="Q382" s="202"/>
    </row>
    <row r="383" spans="1:17" hidden="1" x14ac:dyDescent="0.3">
      <c r="A383" s="31">
        <v>43353</v>
      </c>
      <c r="B383" s="3" t="s">
        <v>1143</v>
      </c>
      <c r="C383" s="2" t="s">
        <v>1146</v>
      </c>
      <c r="D383" s="2">
        <v>1.0004999999999999</v>
      </c>
      <c r="E383" s="2">
        <v>25.32</v>
      </c>
      <c r="F383" s="3">
        <f t="shared" si="18"/>
        <v>3.5455592203898054</v>
      </c>
      <c r="G383" s="3">
        <v>6.25</v>
      </c>
      <c r="H383" s="2">
        <v>0</v>
      </c>
      <c r="I383" s="63">
        <f t="shared" si="21"/>
        <v>22.159745127436285</v>
      </c>
      <c r="J383" s="56" t="s">
        <v>10</v>
      </c>
      <c r="K383" s="3" t="s">
        <v>10</v>
      </c>
      <c r="L383" s="3" t="s">
        <v>10</v>
      </c>
      <c r="M383" s="3" t="s">
        <v>14</v>
      </c>
      <c r="N383" s="3" t="s">
        <v>15</v>
      </c>
      <c r="O383" s="202" t="s">
        <v>10</v>
      </c>
      <c r="P383" s="202"/>
      <c r="Q383" s="202"/>
    </row>
    <row r="384" spans="1:17" hidden="1" x14ac:dyDescent="0.3">
      <c r="A384" s="31">
        <v>43353</v>
      </c>
      <c r="B384" s="3" t="s">
        <v>1144</v>
      </c>
      <c r="C384" s="2" t="s">
        <v>1147</v>
      </c>
      <c r="D384" s="2">
        <v>1.0005999999999999</v>
      </c>
      <c r="E384" s="2">
        <v>25.63</v>
      </c>
      <c r="F384" s="3">
        <f t="shared" si="18"/>
        <v>3.5886098340995405</v>
      </c>
      <c r="G384" s="3">
        <v>6.25</v>
      </c>
      <c r="H384" s="2">
        <v>0</v>
      </c>
      <c r="I384" s="63">
        <f t="shared" si="21"/>
        <v>22.428811463122127</v>
      </c>
      <c r="J384" s="204">
        <f>+AVERAGE(I384:I385)</f>
        <v>22.438819325685767</v>
      </c>
      <c r="K384" s="202">
        <f>+STDEVA(I384:I385)</f>
        <v>1.4153254967865583E-2</v>
      </c>
      <c r="L384" s="202">
        <f>+(K384/J384)*100</f>
        <v>6.3074864868956457E-2</v>
      </c>
      <c r="M384" s="3" t="s">
        <v>14</v>
      </c>
      <c r="N384" s="3" t="s">
        <v>15</v>
      </c>
      <c r="O384" s="202" t="s">
        <v>10</v>
      </c>
      <c r="P384" s="202"/>
      <c r="Q384" s="202"/>
    </row>
    <row r="385" spans="1:17" hidden="1" x14ac:dyDescent="0.3">
      <c r="A385" s="31">
        <v>43353</v>
      </c>
      <c r="B385" s="3" t="s">
        <v>1144</v>
      </c>
      <c r="C385" s="2" t="s">
        <v>1147</v>
      </c>
      <c r="D385" s="2">
        <v>1.0007999999999999</v>
      </c>
      <c r="E385" s="2">
        <v>25.658000000000001</v>
      </c>
      <c r="F385" s="3">
        <f t="shared" si="18"/>
        <v>3.5918123501199051</v>
      </c>
      <c r="G385" s="3">
        <v>6.25</v>
      </c>
      <c r="H385" s="2">
        <v>0</v>
      </c>
      <c r="I385" s="63">
        <f t="shared" si="21"/>
        <v>22.448827188249407</v>
      </c>
      <c r="J385" s="204"/>
      <c r="K385" s="202"/>
      <c r="L385" s="202"/>
      <c r="M385" s="3" t="s">
        <v>14</v>
      </c>
      <c r="N385" s="3" t="s">
        <v>15</v>
      </c>
      <c r="O385" s="202" t="s">
        <v>10</v>
      </c>
      <c r="P385" s="202"/>
      <c r="Q385" s="202"/>
    </row>
    <row r="386" spans="1:17" hidden="1" x14ac:dyDescent="0.3">
      <c r="A386" s="31">
        <v>43353</v>
      </c>
      <c r="B386" s="3" t="s">
        <v>1145</v>
      </c>
      <c r="C386" s="2" t="s">
        <v>1148</v>
      </c>
      <c r="D386" s="2">
        <v>1.0008999999999999</v>
      </c>
      <c r="E386" s="2">
        <v>24.61</v>
      </c>
      <c r="F386" s="3">
        <f t="shared" si="18"/>
        <v>3.4447607153561801</v>
      </c>
      <c r="G386" s="3">
        <v>6.25</v>
      </c>
      <c r="H386" s="2">
        <v>0</v>
      </c>
      <c r="I386" s="63">
        <f t="shared" si="21"/>
        <v>21.529754470976126</v>
      </c>
      <c r="J386" s="56" t="s">
        <v>10</v>
      </c>
      <c r="K386" s="3" t="s">
        <v>10</v>
      </c>
      <c r="L386" s="3" t="s">
        <v>10</v>
      </c>
      <c r="M386" s="3" t="s">
        <v>14</v>
      </c>
      <c r="N386" s="3" t="s">
        <v>15</v>
      </c>
      <c r="O386" s="202" t="s">
        <v>10</v>
      </c>
      <c r="P386" s="202"/>
      <c r="Q386" s="202"/>
    </row>
    <row r="387" spans="1:17" hidden="1" x14ac:dyDescent="0.3">
      <c r="A387" s="31">
        <v>43353</v>
      </c>
      <c r="B387" s="3" t="s">
        <v>10</v>
      </c>
      <c r="C387" s="2" t="s">
        <v>1060</v>
      </c>
      <c r="D387" s="2">
        <v>0.18029999999999999</v>
      </c>
      <c r="E387" s="2">
        <v>3.7999999999999999E-2</v>
      </c>
      <c r="F387" s="3">
        <f t="shared" si="18"/>
        <v>2.9527454242928453E-2</v>
      </c>
      <c r="G387" s="3">
        <v>6.25</v>
      </c>
      <c r="H387" s="2">
        <v>0</v>
      </c>
      <c r="I387" s="63"/>
      <c r="J387" s="56" t="s">
        <v>10</v>
      </c>
      <c r="K387" s="3" t="s">
        <v>10</v>
      </c>
      <c r="L387" s="3" t="s">
        <v>10</v>
      </c>
      <c r="M387" s="3" t="s">
        <v>14</v>
      </c>
      <c r="N387" s="3" t="s">
        <v>15</v>
      </c>
      <c r="O387" s="279" t="s">
        <v>1119</v>
      </c>
      <c r="P387" s="280"/>
      <c r="Q387" s="281"/>
    </row>
    <row r="388" spans="1:17" hidden="1" x14ac:dyDescent="0.3">
      <c r="A388" s="31">
        <v>43353</v>
      </c>
      <c r="B388" s="3" t="s">
        <v>10</v>
      </c>
      <c r="C388" s="2" t="s">
        <v>837</v>
      </c>
      <c r="D388" s="2">
        <v>0.1208</v>
      </c>
      <c r="E388" s="2">
        <v>19.109000000000002</v>
      </c>
      <c r="F388" s="3">
        <f t="shared" si="18"/>
        <v>22.162010761589407</v>
      </c>
      <c r="G388" s="3">
        <v>6.25</v>
      </c>
      <c r="H388" s="2">
        <v>0</v>
      </c>
      <c r="I388" s="63"/>
      <c r="J388" s="56" t="s">
        <v>10</v>
      </c>
      <c r="K388" s="3" t="s">
        <v>10</v>
      </c>
      <c r="L388" s="3" t="s">
        <v>10</v>
      </c>
      <c r="M388" s="3" t="s">
        <v>14</v>
      </c>
      <c r="N388" s="3" t="s">
        <v>15</v>
      </c>
      <c r="O388" s="279" t="s">
        <v>1120</v>
      </c>
      <c r="P388" s="280"/>
      <c r="Q388" s="281"/>
    </row>
    <row r="389" spans="1:17" hidden="1" x14ac:dyDescent="0.3">
      <c r="A389" s="31">
        <v>43353</v>
      </c>
      <c r="B389" s="3" t="s">
        <v>1133</v>
      </c>
      <c r="C389" s="2" t="s">
        <v>1132</v>
      </c>
      <c r="D389" s="2">
        <v>1.0008999999999999</v>
      </c>
      <c r="E389" s="2">
        <v>13.098000000000001</v>
      </c>
      <c r="F389" s="3">
        <f t="shared" si="18"/>
        <v>1.8333797582176046</v>
      </c>
      <c r="G389" s="3">
        <v>6.25</v>
      </c>
      <c r="H389" s="2">
        <v>0</v>
      </c>
      <c r="I389" s="63">
        <f t="shared" ref="I389:I401" si="23">+F389*G389</f>
        <v>11.458623488860029</v>
      </c>
      <c r="J389" s="56" t="s">
        <v>10</v>
      </c>
      <c r="K389" s="3" t="s">
        <v>10</v>
      </c>
      <c r="L389" s="3" t="s">
        <v>10</v>
      </c>
      <c r="M389" s="3" t="s">
        <v>14</v>
      </c>
      <c r="N389" s="3" t="s">
        <v>15</v>
      </c>
      <c r="O389" s="202" t="s">
        <v>10</v>
      </c>
      <c r="P389" s="202"/>
      <c r="Q389" s="202"/>
    </row>
    <row r="390" spans="1:17" hidden="1" x14ac:dyDescent="0.3">
      <c r="A390" s="31">
        <v>43355</v>
      </c>
      <c r="B390" s="3" t="s">
        <v>1135</v>
      </c>
      <c r="C390" s="2" t="s">
        <v>1136</v>
      </c>
      <c r="D390" s="2">
        <v>1.0006999999999999</v>
      </c>
      <c r="E390" s="2">
        <v>60.488</v>
      </c>
      <c r="F390" s="3">
        <f t="shared" si="18"/>
        <v>8.4684408913760354</v>
      </c>
      <c r="G390" s="3">
        <v>6.25</v>
      </c>
      <c r="H390" s="2">
        <v>0</v>
      </c>
      <c r="I390" s="63">
        <f t="shared" si="23"/>
        <v>52.927755571100221</v>
      </c>
      <c r="J390" s="204">
        <f>+AVERAGE(I390:I391)</f>
        <v>53.165715690226364</v>
      </c>
      <c r="K390" s="202">
        <f>+STDEVA(I390:I391)</f>
        <v>0.33652642777211367</v>
      </c>
      <c r="L390" s="202">
        <f>+(K390/J390)*100</f>
        <v>0.63297638977138504</v>
      </c>
      <c r="M390" s="3" t="s">
        <v>14</v>
      </c>
      <c r="N390" s="3" t="s">
        <v>15</v>
      </c>
      <c r="O390" s="202" t="s">
        <v>10</v>
      </c>
      <c r="P390" s="202"/>
      <c r="Q390" s="202"/>
    </row>
    <row r="391" spans="1:17" hidden="1" x14ac:dyDescent="0.3">
      <c r="A391" s="31">
        <v>43355</v>
      </c>
      <c r="B391" s="3" t="s">
        <v>1135</v>
      </c>
      <c r="C391" s="2" t="s">
        <v>1136</v>
      </c>
      <c r="D391" s="2">
        <v>1.0007999999999999</v>
      </c>
      <c r="E391" s="2">
        <v>61.037999999999997</v>
      </c>
      <c r="F391" s="3">
        <f t="shared" si="18"/>
        <v>8.5445881294964021</v>
      </c>
      <c r="G391" s="3">
        <v>6.25</v>
      </c>
      <c r="H391" s="2">
        <v>0</v>
      </c>
      <c r="I391" s="63">
        <f t="shared" si="23"/>
        <v>53.403675809352514</v>
      </c>
      <c r="J391" s="204"/>
      <c r="K391" s="202"/>
      <c r="L391" s="202"/>
      <c r="M391" s="3" t="s">
        <v>14</v>
      </c>
      <c r="N391" s="3" t="s">
        <v>15</v>
      </c>
      <c r="O391" s="202" t="s">
        <v>10</v>
      </c>
      <c r="P391" s="202"/>
      <c r="Q391" s="202"/>
    </row>
    <row r="392" spans="1:17" hidden="1" x14ac:dyDescent="0.3">
      <c r="A392" s="31">
        <v>43355</v>
      </c>
      <c r="B392" s="3" t="s">
        <v>1135</v>
      </c>
      <c r="C392" s="2" t="s">
        <v>1136</v>
      </c>
      <c r="D392" s="2">
        <v>1.0004</v>
      </c>
      <c r="E392" s="2">
        <v>1.8220000000000001</v>
      </c>
      <c r="F392" s="3">
        <f>+E392*0.1*1.401*100/(D392*10)</f>
        <v>2.5516013594562184</v>
      </c>
      <c r="G392" s="3">
        <v>6.25</v>
      </c>
      <c r="H392" s="2">
        <v>0</v>
      </c>
      <c r="I392" s="63">
        <f t="shared" si="23"/>
        <v>15.947508496601365</v>
      </c>
      <c r="J392" s="204">
        <f>+AVERAGE(I392:I393)</f>
        <v>15.83058128666999</v>
      </c>
      <c r="K392" s="202">
        <f>+STDEVA(I392:I393)</f>
        <v>0.16536004609539903</v>
      </c>
      <c r="L392" s="202">
        <f>+(K392/J392)*100</f>
        <v>1.0445607972376802</v>
      </c>
      <c r="M392" s="3" t="s">
        <v>14</v>
      </c>
      <c r="N392" s="3" t="s">
        <v>15</v>
      </c>
      <c r="O392" s="2"/>
      <c r="P392" s="3" t="s">
        <v>529</v>
      </c>
      <c r="Q392" s="2"/>
    </row>
    <row r="393" spans="1:17" hidden="1" x14ac:dyDescent="0.3">
      <c r="A393" s="31">
        <v>43355</v>
      </c>
      <c r="B393" s="3" t="s">
        <v>1135</v>
      </c>
      <c r="C393" s="2" t="s">
        <v>1136</v>
      </c>
      <c r="D393" s="2">
        <v>1.0007999999999999</v>
      </c>
      <c r="E393" s="2">
        <v>1.796</v>
      </c>
      <c r="F393" s="3">
        <f>+E393*0.1*1.401*100/(D393*10)</f>
        <v>2.5141846522781779</v>
      </c>
      <c r="G393" s="3">
        <v>6.25</v>
      </c>
      <c r="H393" s="2">
        <v>0</v>
      </c>
      <c r="I393" s="63">
        <f t="shared" si="23"/>
        <v>15.713654076738612</v>
      </c>
      <c r="J393" s="204"/>
      <c r="K393" s="202"/>
      <c r="L393" s="202"/>
      <c r="M393" s="3" t="s">
        <v>14</v>
      </c>
      <c r="N393" s="3" t="s">
        <v>15</v>
      </c>
      <c r="O393" s="2"/>
      <c r="P393" s="3" t="s">
        <v>529</v>
      </c>
      <c r="Q393" s="2"/>
    </row>
    <row r="394" spans="1:17" hidden="1" x14ac:dyDescent="0.3">
      <c r="A394" s="31">
        <v>43355</v>
      </c>
      <c r="B394" s="3" t="s">
        <v>1137</v>
      </c>
      <c r="C394" s="2" t="s">
        <v>1138</v>
      </c>
      <c r="D394" s="2">
        <v>1.0005999999999999</v>
      </c>
      <c r="E394" s="2">
        <v>60.652000000000001</v>
      </c>
      <c r="F394" s="3">
        <f t="shared" si="18"/>
        <v>8.4922498500899462</v>
      </c>
      <c r="G394" s="3">
        <v>6.25</v>
      </c>
      <c r="H394" s="2">
        <v>0</v>
      </c>
      <c r="I394" s="63">
        <f t="shared" si="23"/>
        <v>53.076561563062164</v>
      </c>
      <c r="J394" s="34" t="s">
        <v>10</v>
      </c>
      <c r="K394" t="s">
        <v>10</v>
      </c>
      <c r="L394" t="s">
        <v>10</v>
      </c>
      <c r="M394" s="3" t="s">
        <v>14</v>
      </c>
      <c r="N394" s="3" t="s">
        <v>15</v>
      </c>
      <c r="O394" s="202" t="s">
        <v>10</v>
      </c>
      <c r="P394" s="202"/>
      <c r="Q394" s="202"/>
    </row>
    <row r="395" spans="1:17" hidden="1" x14ac:dyDescent="0.3">
      <c r="A395" s="31">
        <v>43355</v>
      </c>
      <c r="B395" s="3" t="s">
        <v>1137</v>
      </c>
      <c r="C395" s="2" t="s">
        <v>1138</v>
      </c>
      <c r="D395" s="2">
        <v>1.0004</v>
      </c>
      <c r="E395" s="2">
        <v>1.806</v>
      </c>
      <c r="F395" s="3">
        <f>+E395*0.1*1.401*100/(D395*10)</f>
        <v>2.529194322271092</v>
      </c>
      <c r="G395" s="3">
        <v>6.25</v>
      </c>
      <c r="H395" s="2">
        <v>0</v>
      </c>
      <c r="I395" s="63">
        <f t="shared" si="23"/>
        <v>15.807464514194326</v>
      </c>
      <c r="J395" s="204">
        <f>+AVERAGE(I395:I396)</f>
        <v>15.733066148540585</v>
      </c>
      <c r="K395" s="202">
        <f>+STDEVA(I395:I396)</f>
        <v>0.10521517772591259</v>
      </c>
      <c r="L395" s="202">
        <f>+(K395/J395)*100</f>
        <v>0.66875189319452799</v>
      </c>
      <c r="M395" s="3" t="s">
        <v>14</v>
      </c>
      <c r="N395" s="3" t="s">
        <v>15</v>
      </c>
      <c r="O395" s="2"/>
      <c r="P395" s="3" t="s">
        <v>529</v>
      </c>
      <c r="Q395" s="2"/>
    </row>
    <row r="396" spans="1:17" hidden="1" x14ac:dyDescent="0.3">
      <c r="A396" s="31">
        <v>43355</v>
      </c>
      <c r="B396" s="3" t="s">
        <v>1137</v>
      </c>
      <c r="C396" s="2" t="s">
        <v>1138</v>
      </c>
      <c r="D396" s="2">
        <v>1.0004</v>
      </c>
      <c r="E396" s="2">
        <v>1.7889999999999999</v>
      </c>
      <c r="F396" s="3">
        <f>+E396*0.1*1.401*100/(D396*10)</f>
        <v>2.5053868452618953</v>
      </c>
      <c r="G396" s="3">
        <v>6.25</v>
      </c>
      <c r="H396" s="2">
        <v>0</v>
      </c>
      <c r="I396" s="63">
        <f t="shared" si="23"/>
        <v>15.658667782886845</v>
      </c>
      <c r="J396" s="204"/>
      <c r="K396" s="202"/>
      <c r="L396" s="202"/>
      <c r="M396" s="3" t="s">
        <v>14</v>
      </c>
      <c r="N396" s="3" t="s">
        <v>15</v>
      </c>
      <c r="O396" s="2"/>
      <c r="P396" s="3" t="s">
        <v>529</v>
      </c>
      <c r="Q396" s="2"/>
    </row>
    <row r="397" spans="1:17" hidden="1" x14ac:dyDescent="0.3">
      <c r="A397" s="31">
        <v>43355</v>
      </c>
      <c r="B397" s="3" t="s">
        <v>1149</v>
      </c>
      <c r="C397" s="2" t="s">
        <v>1150</v>
      </c>
      <c r="D397" s="2">
        <v>1.0003</v>
      </c>
      <c r="E397" s="2">
        <v>18.239999999999998</v>
      </c>
      <c r="F397" s="3">
        <f t="shared" ref="F397:F423" si="24">+E397*0.1*14.01/(D397*10)</f>
        <v>2.5546576027191841</v>
      </c>
      <c r="G397" s="3">
        <v>6.25</v>
      </c>
      <c r="H397" s="2">
        <v>0</v>
      </c>
      <c r="I397" s="63">
        <f t="shared" si="23"/>
        <v>15.966610016994901</v>
      </c>
      <c r="J397" s="204">
        <f>+AVERAGE(I397:I398)</f>
        <v>16.018472657907804</v>
      </c>
      <c r="K397" s="202">
        <f>+STDEVA(I397:I398)</f>
        <v>7.3344850159514502E-2</v>
      </c>
      <c r="L397" s="202">
        <f>+(K397/J397)*100</f>
        <v>0.45787667604692955</v>
      </c>
      <c r="M397" s="3" t="s">
        <v>14</v>
      </c>
      <c r="N397" s="3" t="s">
        <v>15</v>
      </c>
      <c r="O397" s="202" t="s">
        <v>10</v>
      </c>
      <c r="P397" s="202"/>
      <c r="Q397" s="202"/>
    </row>
    <row r="398" spans="1:17" hidden="1" x14ac:dyDescent="0.3">
      <c r="A398" s="31">
        <v>43355</v>
      </c>
      <c r="B398" s="3" t="s">
        <v>1149</v>
      </c>
      <c r="C398" s="2" t="s">
        <v>1150</v>
      </c>
      <c r="D398" s="2">
        <v>1.0005999999999999</v>
      </c>
      <c r="E398" s="2">
        <v>18.364000000000001</v>
      </c>
      <c r="F398" s="3">
        <f t="shared" si="24"/>
        <v>2.5712536478113135</v>
      </c>
      <c r="G398" s="3">
        <v>6.25</v>
      </c>
      <c r="H398" s="2">
        <v>0</v>
      </c>
      <c r="I398" s="63">
        <f t="shared" si="23"/>
        <v>16.070335298820709</v>
      </c>
      <c r="J398" s="204"/>
      <c r="K398" s="202"/>
      <c r="L398" s="202"/>
      <c r="M398" s="3" t="s">
        <v>14</v>
      </c>
      <c r="N398" s="3" t="s">
        <v>15</v>
      </c>
      <c r="O398" s="202" t="s">
        <v>10</v>
      </c>
      <c r="P398" s="202"/>
      <c r="Q398" s="202"/>
    </row>
    <row r="399" spans="1:17" hidden="1" x14ac:dyDescent="0.3">
      <c r="A399" s="31">
        <v>43355</v>
      </c>
      <c r="B399" s="3" t="s">
        <v>10</v>
      </c>
      <c r="C399" s="2" t="s">
        <v>1060</v>
      </c>
      <c r="D399" s="2">
        <v>0.18</v>
      </c>
      <c r="E399" s="2">
        <v>3.5999999999999997E-2</v>
      </c>
      <c r="F399" s="3">
        <f t="shared" si="24"/>
        <v>2.802E-2</v>
      </c>
      <c r="G399" s="3">
        <v>6.25</v>
      </c>
      <c r="H399" s="2">
        <v>0</v>
      </c>
      <c r="I399" s="63">
        <f t="shared" si="23"/>
        <v>0.175125</v>
      </c>
      <c r="J399" s="2" t="s">
        <v>10</v>
      </c>
      <c r="K399" s="2" t="s">
        <v>10</v>
      </c>
      <c r="L399" s="2" t="s">
        <v>10</v>
      </c>
      <c r="M399" s="3" t="s">
        <v>14</v>
      </c>
      <c r="N399" s="3" t="s">
        <v>15</v>
      </c>
      <c r="O399" s="202" t="s">
        <v>1119</v>
      </c>
      <c r="P399" s="202"/>
      <c r="Q399" s="202"/>
    </row>
    <row r="400" spans="1:17" hidden="1" x14ac:dyDescent="0.3">
      <c r="A400" s="31">
        <v>43355</v>
      </c>
      <c r="B400" s="3" t="s">
        <v>10</v>
      </c>
      <c r="C400" s="2" t="s">
        <v>837</v>
      </c>
      <c r="D400" s="2">
        <v>0.12089999999999999</v>
      </c>
      <c r="E400" s="2">
        <v>19.097999999999999</v>
      </c>
      <c r="F400" s="3">
        <f t="shared" si="24"/>
        <v>22.130933002481392</v>
      </c>
      <c r="G400" s="3">
        <v>6.25</v>
      </c>
      <c r="H400" s="2">
        <v>0</v>
      </c>
      <c r="I400" s="63">
        <f t="shared" si="23"/>
        <v>138.3183312655087</v>
      </c>
      <c r="J400" s="2" t="s">
        <v>10</v>
      </c>
      <c r="K400" s="2" t="s">
        <v>10</v>
      </c>
      <c r="L400" s="2" t="s">
        <v>10</v>
      </c>
      <c r="M400" s="3" t="s">
        <v>14</v>
      </c>
      <c r="N400" s="3" t="s">
        <v>15</v>
      </c>
      <c r="O400" s="202" t="s">
        <v>1120</v>
      </c>
      <c r="P400" s="202"/>
      <c r="Q400" s="202"/>
    </row>
    <row r="401" spans="1:17" hidden="1" x14ac:dyDescent="0.3">
      <c r="A401" s="31">
        <v>43360</v>
      </c>
      <c r="B401" s="3" t="s">
        <v>1149</v>
      </c>
      <c r="C401" s="2" t="s">
        <v>1151</v>
      </c>
      <c r="D401" s="2">
        <f>+'FIBRA DIETARIA KIT'!H127</f>
        <v>0.50800000000000267</v>
      </c>
      <c r="E401" s="2">
        <v>28.1</v>
      </c>
      <c r="F401" s="3">
        <f t="shared" si="24"/>
        <v>7.7496259842519288</v>
      </c>
      <c r="G401" s="3">
        <v>6.25</v>
      </c>
      <c r="H401" s="2">
        <v>0</v>
      </c>
      <c r="I401" s="63">
        <f t="shared" si="23"/>
        <v>48.435162401574559</v>
      </c>
      <c r="J401" s="2" t="s">
        <v>10</v>
      </c>
      <c r="K401" s="2" t="s">
        <v>10</v>
      </c>
      <c r="L401" s="2" t="s">
        <v>10</v>
      </c>
      <c r="M401" s="3" t="s">
        <v>14</v>
      </c>
      <c r="N401" s="3" t="s">
        <v>15</v>
      </c>
      <c r="O401" s="202" t="s">
        <v>10</v>
      </c>
      <c r="P401" s="202"/>
      <c r="Q401" s="202"/>
    </row>
    <row r="402" spans="1:17" hidden="1" x14ac:dyDescent="0.3">
      <c r="A402" s="31">
        <v>43360</v>
      </c>
      <c r="B402" s="3" t="s">
        <v>1152</v>
      </c>
      <c r="C402" s="2" t="s">
        <v>1153</v>
      </c>
      <c r="D402" s="2">
        <v>1.0008999999999999</v>
      </c>
      <c r="E402" s="2">
        <v>109.756</v>
      </c>
      <c r="F402" s="3">
        <f t="shared" si="24"/>
        <v>15.36298890998102</v>
      </c>
      <c r="G402" s="3">
        <v>6.25</v>
      </c>
      <c r="H402" s="2">
        <v>0</v>
      </c>
      <c r="I402" s="63">
        <f t="shared" ref="I402:I436" si="25">+F402*G402*((100-H402)/100)</f>
        <v>96.018680687381377</v>
      </c>
      <c r="J402" s="2" t="s">
        <v>10</v>
      </c>
      <c r="K402" s="2" t="s">
        <v>10</v>
      </c>
      <c r="L402" s="2" t="s">
        <v>10</v>
      </c>
      <c r="M402" s="3" t="s">
        <v>14</v>
      </c>
      <c r="N402" s="3" t="s">
        <v>15</v>
      </c>
      <c r="O402" s="202" t="s">
        <v>10</v>
      </c>
      <c r="P402" s="202"/>
      <c r="Q402" s="202"/>
    </row>
    <row r="403" spans="1:17" hidden="1" x14ac:dyDescent="0.3">
      <c r="A403" s="31">
        <v>43360</v>
      </c>
      <c r="B403" s="3" t="s">
        <v>1154</v>
      </c>
      <c r="C403" s="2" t="s">
        <v>1155</v>
      </c>
      <c r="D403" s="2">
        <v>1.0004</v>
      </c>
      <c r="E403" s="2">
        <v>108.36199999999999</v>
      </c>
      <c r="F403" s="3">
        <f t="shared" si="24"/>
        <v>15.175446021591362</v>
      </c>
      <c r="G403" s="3">
        <v>6.25</v>
      </c>
      <c r="H403" s="2">
        <v>0</v>
      </c>
      <c r="I403" s="63">
        <f t="shared" si="25"/>
        <v>94.846537634946017</v>
      </c>
      <c r="J403" s="2" t="s">
        <v>10</v>
      </c>
      <c r="K403" s="2" t="s">
        <v>10</v>
      </c>
      <c r="L403" s="2" t="s">
        <v>10</v>
      </c>
      <c r="M403" s="3" t="s">
        <v>14</v>
      </c>
      <c r="N403" s="3" t="s">
        <v>15</v>
      </c>
      <c r="O403" s="202" t="s">
        <v>10</v>
      </c>
      <c r="P403" s="202"/>
      <c r="Q403" s="202"/>
    </row>
    <row r="404" spans="1:17" hidden="1" x14ac:dyDescent="0.3">
      <c r="A404" s="31">
        <v>43360</v>
      </c>
      <c r="B404" s="3" t="s">
        <v>1158</v>
      </c>
      <c r="C404" s="2" t="s">
        <v>1156</v>
      </c>
      <c r="D404" s="2">
        <v>1.0004</v>
      </c>
      <c r="E404" s="2">
        <v>110.562</v>
      </c>
      <c r="F404" s="3">
        <f t="shared" si="24"/>
        <v>15.483542782886847</v>
      </c>
      <c r="G404" s="3">
        <v>6.25</v>
      </c>
      <c r="H404" s="2">
        <v>0</v>
      </c>
      <c r="I404" s="63">
        <f t="shared" si="25"/>
        <v>96.772142393042799</v>
      </c>
      <c r="J404" s="2" t="s">
        <v>10</v>
      </c>
      <c r="K404" s="2"/>
      <c r="L404" s="2" t="s">
        <v>10</v>
      </c>
      <c r="M404" s="3" t="s">
        <v>14</v>
      </c>
      <c r="N404" s="3" t="s">
        <v>15</v>
      </c>
      <c r="O404" s="202" t="s">
        <v>10</v>
      </c>
      <c r="P404" s="202"/>
      <c r="Q404" s="202"/>
    </row>
    <row r="405" spans="1:17" hidden="1" x14ac:dyDescent="0.3">
      <c r="A405" s="31">
        <v>43360</v>
      </c>
      <c r="B405" s="3" t="s">
        <v>1159</v>
      </c>
      <c r="C405" s="2" t="s">
        <v>1157</v>
      </c>
      <c r="D405" s="2">
        <v>1.0004999999999999</v>
      </c>
      <c r="E405" s="2">
        <v>111.304</v>
      </c>
      <c r="F405" s="3">
        <f t="shared" si="24"/>
        <v>15.585897451274366</v>
      </c>
      <c r="G405" s="3">
        <v>6.25</v>
      </c>
      <c r="H405" s="2">
        <v>0</v>
      </c>
      <c r="I405" s="63">
        <f t="shared" si="25"/>
        <v>97.411859070464786</v>
      </c>
      <c r="J405" s="204">
        <f>+AVERAGE(I405:I406)</f>
        <v>97.267372774964585</v>
      </c>
      <c r="K405" s="202">
        <f>+STDEVA(I405:I406)</f>
        <v>0.20433447867343077</v>
      </c>
      <c r="L405" s="202">
        <f>+(K405/J405)*100</f>
        <v>0.21007504658954243</v>
      </c>
      <c r="M405" s="3" t="s">
        <v>14</v>
      </c>
      <c r="N405" s="3" t="s">
        <v>15</v>
      </c>
      <c r="O405" s="202" t="s">
        <v>10</v>
      </c>
      <c r="P405" s="202"/>
      <c r="Q405" s="202"/>
    </row>
    <row r="406" spans="1:17" hidden="1" x14ac:dyDescent="0.3">
      <c r="A406" s="31">
        <v>43360</v>
      </c>
      <c r="B406" s="3" t="s">
        <v>1159</v>
      </c>
      <c r="C406" s="2" t="s">
        <v>1157</v>
      </c>
      <c r="D406" s="2">
        <v>1.0006999999999999</v>
      </c>
      <c r="E406" s="2">
        <v>110.996</v>
      </c>
      <c r="F406" s="3">
        <f t="shared" si="24"/>
        <v>15.539661836714302</v>
      </c>
      <c r="G406" s="3">
        <v>6.25</v>
      </c>
      <c r="H406" s="2">
        <v>0</v>
      </c>
      <c r="I406" s="63">
        <f t="shared" si="25"/>
        <v>97.122886479464384</v>
      </c>
      <c r="J406" s="204"/>
      <c r="K406" s="202"/>
      <c r="L406" s="202"/>
      <c r="M406" s="3" t="s">
        <v>14</v>
      </c>
      <c r="N406" s="3" t="s">
        <v>15</v>
      </c>
      <c r="O406" s="202" t="s">
        <v>10</v>
      </c>
      <c r="P406" s="202"/>
      <c r="Q406" s="202"/>
    </row>
    <row r="407" spans="1:17" hidden="1" x14ac:dyDescent="0.3">
      <c r="A407" s="31">
        <v>43360</v>
      </c>
      <c r="B407" s="3" t="s">
        <v>1160</v>
      </c>
      <c r="C407" s="2" t="s">
        <v>1164</v>
      </c>
      <c r="D407" s="2">
        <v>1.0007999999999999</v>
      </c>
      <c r="E407" s="2">
        <v>110.01600000000001</v>
      </c>
      <c r="F407" s="3">
        <f t="shared" si="24"/>
        <v>15.400920863309354</v>
      </c>
      <c r="G407" s="3">
        <v>6.25</v>
      </c>
      <c r="H407" s="2">
        <v>0</v>
      </c>
      <c r="I407" s="63">
        <f t="shared" si="25"/>
        <v>96.255755395683465</v>
      </c>
      <c r="J407" s="2" t="s">
        <v>10</v>
      </c>
      <c r="K407" s="2" t="s">
        <v>10</v>
      </c>
      <c r="L407" s="2" t="s">
        <v>10</v>
      </c>
      <c r="M407" s="3" t="s">
        <v>14</v>
      </c>
      <c r="N407" s="3" t="s">
        <v>15</v>
      </c>
      <c r="O407" s="202" t="s">
        <v>10</v>
      </c>
      <c r="P407" s="202"/>
      <c r="Q407" s="202"/>
    </row>
    <row r="408" spans="1:17" hidden="1" x14ac:dyDescent="0.3">
      <c r="A408" s="31">
        <v>43360</v>
      </c>
      <c r="B408" s="3" t="s">
        <v>1161</v>
      </c>
      <c r="C408" s="2" t="s">
        <v>1165</v>
      </c>
      <c r="D408" s="2">
        <v>1.0004999999999999</v>
      </c>
      <c r="E408" s="2">
        <v>102.63200000000001</v>
      </c>
      <c r="F408" s="3">
        <f t="shared" si="24"/>
        <v>14.37155742128936</v>
      </c>
      <c r="G408" s="3">
        <v>6.25</v>
      </c>
      <c r="H408" s="2">
        <v>0</v>
      </c>
      <c r="I408" s="63">
        <f t="shared" si="25"/>
        <v>89.822233883058502</v>
      </c>
      <c r="J408" s="2" t="s">
        <v>10</v>
      </c>
      <c r="K408" s="2" t="s">
        <v>10</v>
      </c>
      <c r="L408" s="2" t="s">
        <v>10</v>
      </c>
      <c r="M408" s="3" t="s">
        <v>14</v>
      </c>
      <c r="N408" s="3" t="s">
        <v>15</v>
      </c>
      <c r="O408" s="202" t="s">
        <v>10</v>
      </c>
      <c r="P408" s="202"/>
      <c r="Q408" s="202"/>
    </row>
    <row r="409" spans="1:17" hidden="1" x14ac:dyDescent="0.3">
      <c r="A409" s="31">
        <v>43360</v>
      </c>
      <c r="B409" s="3" t="s">
        <v>1162</v>
      </c>
      <c r="C409" s="2" t="s">
        <v>1166</v>
      </c>
      <c r="D409" s="2">
        <v>1.0003</v>
      </c>
      <c r="E409" s="2">
        <v>109.63200000000001</v>
      </c>
      <c r="F409" s="3">
        <f t="shared" si="24"/>
        <v>15.354836748975309</v>
      </c>
      <c r="G409" s="3">
        <v>6.25</v>
      </c>
      <c r="H409" s="2">
        <v>0</v>
      </c>
      <c r="I409" s="63">
        <f t="shared" si="25"/>
        <v>95.967729681095676</v>
      </c>
      <c r="J409" s="2" t="s">
        <v>10</v>
      </c>
      <c r="K409" s="2" t="s">
        <v>10</v>
      </c>
      <c r="L409" s="2" t="s">
        <v>10</v>
      </c>
      <c r="M409" s="3" t="s">
        <v>14</v>
      </c>
      <c r="N409" s="3" t="s">
        <v>15</v>
      </c>
      <c r="O409" s="202" t="s">
        <v>10</v>
      </c>
      <c r="P409" s="202"/>
      <c r="Q409" s="202"/>
    </row>
    <row r="410" spans="1:17" hidden="1" x14ac:dyDescent="0.3">
      <c r="A410" s="31">
        <v>43360</v>
      </c>
      <c r="B410" s="3" t="s">
        <v>1163</v>
      </c>
      <c r="C410" s="2" t="s">
        <v>1167</v>
      </c>
      <c r="D410" s="2">
        <v>1.0004999999999999</v>
      </c>
      <c r="E410" s="2">
        <v>104.462</v>
      </c>
      <c r="F410" s="3">
        <f t="shared" si="24"/>
        <v>14.627812293853077</v>
      </c>
      <c r="G410" s="3">
        <v>6.25</v>
      </c>
      <c r="H410" s="2">
        <v>0</v>
      </c>
      <c r="I410" s="63">
        <f t="shared" si="25"/>
        <v>91.423826836581739</v>
      </c>
      <c r="J410" s="2" t="s">
        <v>10</v>
      </c>
      <c r="K410" s="2" t="s">
        <v>10</v>
      </c>
      <c r="L410" s="2" t="s">
        <v>10</v>
      </c>
      <c r="M410" s="3" t="s">
        <v>14</v>
      </c>
      <c r="N410" s="3" t="s">
        <v>15</v>
      </c>
      <c r="O410" s="202" t="s">
        <v>10</v>
      </c>
      <c r="P410" s="202"/>
      <c r="Q410" s="202"/>
    </row>
    <row r="411" spans="1:17" hidden="1" x14ac:dyDescent="0.3">
      <c r="A411" s="31">
        <v>43360</v>
      </c>
      <c r="B411" s="3" t="s">
        <v>1169</v>
      </c>
      <c r="C411" s="2" t="s">
        <v>1170</v>
      </c>
      <c r="D411" s="2">
        <v>1.0007999999999999</v>
      </c>
      <c r="E411" s="2">
        <v>28.478000000000002</v>
      </c>
      <c r="F411" s="3">
        <f>+E411*0.1*14.01/((D411-(D411*26.73/100))*10)</f>
        <v>5.4409424555346861</v>
      </c>
      <c r="G411" s="3">
        <v>6.38</v>
      </c>
      <c r="H411" s="2">
        <v>0</v>
      </c>
      <c r="I411" s="63">
        <f t="shared" si="25"/>
        <v>34.713212866311295</v>
      </c>
      <c r="J411" s="204">
        <f>+AVERAGE(I411:I412)</f>
        <v>34.726104685874645</v>
      </c>
      <c r="K411" s="202">
        <f>+STDEVA(I411:I412)</f>
        <v>1.8231786070161782E-2</v>
      </c>
      <c r="L411" s="202">
        <f>+(K411/J411)*100</f>
        <v>5.2501673409911222E-2</v>
      </c>
      <c r="M411" s="3" t="s">
        <v>14</v>
      </c>
      <c r="N411" s="3" t="s">
        <v>15</v>
      </c>
      <c r="O411" s="202" t="s">
        <v>1171</v>
      </c>
      <c r="P411" s="202"/>
      <c r="Q411" s="202"/>
    </row>
    <row r="412" spans="1:17" hidden="1" x14ac:dyDescent="0.3">
      <c r="A412" s="31">
        <v>43360</v>
      </c>
      <c r="B412" s="3" t="s">
        <v>1169</v>
      </c>
      <c r="C412" s="2" t="s">
        <v>1170</v>
      </c>
      <c r="D412" s="2">
        <v>1.0008999999999999</v>
      </c>
      <c r="E412" s="2">
        <v>28.501999999999999</v>
      </c>
      <c r="F412" s="3">
        <f>+E412*0.1*14.01/((D412-(D412*26.73/100))*10)</f>
        <v>5.4449837782818182</v>
      </c>
      <c r="G412" s="3">
        <v>6.38</v>
      </c>
      <c r="H412" s="2">
        <v>0</v>
      </c>
      <c r="I412" s="63">
        <f t="shared" si="25"/>
        <v>34.738996505438003</v>
      </c>
      <c r="J412" s="204"/>
      <c r="K412" s="202"/>
      <c r="L412" s="202"/>
      <c r="M412" s="3" t="s">
        <v>14</v>
      </c>
      <c r="N412" s="3" t="s">
        <v>15</v>
      </c>
      <c r="O412" s="202"/>
      <c r="P412" s="202"/>
      <c r="Q412" s="202"/>
    </row>
    <row r="413" spans="1:17" hidden="1" x14ac:dyDescent="0.3">
      <c r="A413" s="31">
        <v>43360</v>
      </c>
      <c r="B413" s="3" t="s">
        <v>1172</v>
      </c>
      <c r="C413" s="2" t="s">
        <v>1176</v>
      </c>
      <c r="D413" s="2">
        <v>1.0005999999999999</v>
      </c>
      <c r="E413" s="2">
        <v>15.43</v>
      </c>
      <c r="F413" s="3">
        <f t="shared" si="24"/>
        <v>2.1604467319608238</v>
      </c>
      <c r="G413" s="3">
        <v>6.25</v>
      </c>
      <c r="H413" s="2">
        <v>0</v>
      </c>
      <c r="I413" s="63">
        <f t="shared" si="25"/>
        <v>13.502792074755149</v>
      </c>
      <c r="J413" s="2" t="s">
        <v>10</v>
      </c>
      <c r="K413" s="2"/>
      <c r="L413" s="2"/>
      <c r="M413" s="3" t="s">
        <v>14</v>
      </c>
      <c r="N413" s="3" t="s">
        <v>15</v>
      </c>
      <c r="O413" s="202" t="s">
        <v>10</v>
      </c>
      <c r="P413" s="202"/>
      <c r="Q413" s="202"/>
    </row>
    <row r="414" spans="1:17" hidden="1" x14ac:dyDescent="0.3">
      <c r="A414" s="31">
        <v>43360</v>
      </c>
      <c r="B414" s="3" t="s">
        <v>1173</v>
      </c>
      <c r="C414" s="2" t="s">
        <v>1177</v>
      </c>
      <c r="D414" s="2">
        <v>1.0005999999999999</v>
      </c>
      <c r="E414" s="2">
        <v>11.894</v>
      </c>
      <c r="F414" s="3">
        <f t="shared" si="24"/>
        <v>1.6653501898860683</v>
      </c>
      <c r="G414" s="3">
        <v>6.25</v>
      </c>
      <c r="H414" s="2">
        <v>0</v>
      </c>
      <c r="I414" s="63">
        <f t="shared" si="25"/>
        <v>10.408438686787926</v>
      </c>
      <c r="J414" s="204">
        <f>+AVERAGE(I414:I415)</f>
        <v>10.423668853736725</v>
      </c>
      <c r="K414" s="202">
        <f>+STDEVA(I414:I415)</f>
        <v>2.153870865619624E-2</v>
      </c>
      <c r="L414" s="202">
        <f>+(K414/J414)*100</f>
        <v>0.20663270253903879</v>
      </c>
      <c r="M414" s="3" t="s">
        <v>14</v>
      </c>
      <c r="N414" s="3" t="s">
        <v>15</v>
      </c>
      <c r="O414" s="202" t="s">
        <v>10</v>
      </c>
      <c r="P414" s="202"/>
      <c r="Q414" s="202"/>
    </row>
    <row r="415" spans="1:17" hidden="1" x14ac:dyDescent="0.3">
      <c r="A415" s="31">
        <v>43360</v>
      </c>
      <c r="B415" s="3" t="s">
        <v>1173</v>
      </c>
      <c r="C415" s="2" t="s">
        <v>1177</v>
      </c>
      <c r="D415" s="2">
        <v>1.0006999999999999</v>
      </c>
      <c r="E415" s="2">
        <v>11.93</v>
      </c>
      <c r="F415" s="3">
        <f t="shared" si="24"/>
        <v>1.6702238433096834</v>
      </c>
      <c r="G415" s="3">
        <v>6.25</v>
      </c>
      <c r="H415" s="2">
        <v>0</v>
      </c>
      <c r="I415" s="63">
        <f t="shared" si="25"/>
        <v>10.438899020685522</v>
      </c>
      <c r="J415" s="204"/>
      <c r="K415" s="202"/>
      <c r="L415" s="202"/>
      <c r="M415" s="3" t="s">
        <v>14</v>
      </c>
      <c r="N415" s="3" t="s">
        <v>15</v>
      </c>
      <c r="O415" s="202" t="s">
        <v>10</v>
      </c>
      <c r="P415" s="202"/>
      <c r="Q415" s="202"/>
    </row>
    <row r="416" spans="1:17" hidden="1" x14ac:dyDescent="0.3">
      <c r="A416" s="31">
        <v>43360</v>
      </c>
      <c r="B416" s="3" t="s">
        <v>1174</v>
      </c>
      <c r="C416" s="2" t="s">
        <v>1178</v>
      </c>
      <c r="D416" s="2">
        <v>1.0003</v>
      </c>
      <c r="E416" s="2">
        <v>15.321999999999999</v>
      </c>
      <c r="F416" s="3">
        <f t="shared" si="24"/>
        <v>2.1459684094771565</v>
      </c>
      <c r="G416" s="3">
        <v>6.25</v>
      </c>
      <c r="H416" s="2">
        <v>0</v>
      </c>
      <c r="I416" s="63">
        <f t="shared" si="25"/>
        <v>13.412302559232229</v>
      </c>
      <c r="J416" s="2" t="s">
        <v>10</v>
      </c>
      <c r="K416" s="2"/>
      <c r="L416" s="2"/>
      <c r="M416" s="3" t="s">
        <v>14</v>
      </c>
      <c r="N416" s="3" t="s">
        <v>15</v>
      </c>
      <c r="O416" s="202" t="s">
        <v>10</v>
      </c>
      <c r="P416" s="202"/>
      <c r="Q416" s="202"/>
    </row>
    <row r="417" spans="1:17" hidden="1" x14ac:dyDescent="0.3">
      <c r="A417" s="31">
        <v>43360</v>
      </c>
      <c r="B417" s="3" t="s">
        <v>1175</v>
      </c>
      <c r="C417" s="2" t="s">
        <v>1179</v>
      </c>
      <c r="D417" s="2">
        <v>1.0004999999999999</v>
      </c>
      <c r="E417" s="2">
        <v>16.474</v>
      </c>
      <c r="F417" s="3">
        <f t="shared" si="24"/>
        <v>2.3068539730134936</v>
      </c>
      <c r="G417" s="3">
        <v>6.25</v>
      </c>
      <c r="H417" s="2">
        <v>0</v>
      </c>
      <c r="I417" s="63">
        <f t="shared" si="25"/>
        <v>14.417837331334335</v>
      </c>
      <c r="J417" s="2" t="s">
        <v>10</v>
      </c>
      <c r="K417" s="2"/>
      <c r="L417" s="2"/>
      <c r="M417" s="3" t="s">
        <v>14</v>
      </c>
      <c r="N417" s="3" t="s">
        <v>15</v>
      </c>
      <c r="O417" s="202" t="s">
        <v>10</v>
      </c>
      <c r="P417" s="202"/>
      <c r="Q417" s="202"/>
    </row>
    <row r="418" spans="1:17" hidden="1" x14ac:dyDescent="0.3">
      <c r="A418" s="31">
        <v>43360</v>
      </c>
      <c r="B418" s="3" t="s">
        <v>960</v>
      </c>
      <c r="C418" s="2" t="s">
        <v>961</v>
      </c>
      <c r="D418" s="2">
        <v>1.0008999999999999</v>
      </c>
      <c r="E418" s="2">
        <v>74.632000000000005</v>
      </c>
      <c r="F418" s="3">
        <f t="shared" si="24"/>
        <v>10.446541312818464</v>
      </c>
      <c r="G418" s="3">
        <v>6.25</v>
      </c>
      <c r="H418" s="2">
        <v>0</v>
      </c>
      <c r="I418" s="63">
        <f t="shared" si="25"/>
        <v>65.290883205115406</v>
      </c>
      <c r="J418" s="204">
        <f>+AVERAGE(I418:I419)</f>
        <v>66.072988060745331</v>
      </c>
      <c r="K418" s="202">
        <f>+STDEVA(I418:I419)</f>
        <v>1.1060632940297008</v>
      </c>
      <c r="L418" s="202">
        <f>+(K418/J418)*100</f>
        <v>1.674002230704055</v>
      </c>
      <c r="M418" s="3" t="s">
        <v>14</v>
      </c>
      <c r="N418" s="3" t="s">
        <v>15</v>
      </c>
      <c r="O418" s="202" t="s">
        <v>10</v>
      </c>
      <c r="P418" s="202"/>
      <c r="Q418" s="202"/>
    </row>
    <row r="419" spans="1:17" hidden="1" x14ac:dyDescent="0.3">
      <c r="A419" s="31">
        <v>43360</v>
      </c>
      <c r="B419" s="3" t="s">
        <v>960</v>
      </c>
      <c r="C419" s="2" t="s">
        <v>961</v>
      </c>
      <c r="D419" s="2">
        <v>1.0008999999999999</v>
      </c>
      <c r="E419" s="2">
        <v>76.42</v>
      </c>
      <c r="F419" s="3">
        <f t="shared" si="24"/>
        <v>10.696814866620043</v>
      </c>
      <c r="G419" s="3">
        <v>6.25</v>
      </c>
      <c r="H419" s="2">
        <v>0</v>
      </c>
      <c r="I419" s="63">
        <f t="shared" si="25"/>
        <v>66.85509291637527</v>
      </c>
      <c r="J419" s="204"/>
      <c r="K419" s="202"/>
      <c r="L419" s="202"/>
      <c r="M419" s="3" t="s">
        <v>14</v>
      </c>
      <c r="N419" s="3" t="s">
        <v>15</v>
      </c>
      <c r="O419" s="202" t="s">
        <v>10</v>
      </c>
      <c r="P419" s="202"/>
      <c r="Q419" s="202"/>
    </row>
    <row r="420" spans="1:17" hidden="1" x14ac:dyDescent="0.3">
      <c r="A420" s="31">
        <v>43360</v>
      </c>
      <c r="B420" s="3" t="s">
        <v>10</v>
      </c>
      <c r="C420" s="2" t="s">
        <v>1060</v>
      </c>
      <c r="D420" s="2">
        <v>0.18149999999999999</v>
      </c>
      <c r="E420" s="2">
        <v>4.8000000000000001E-2</v>
      </c>
      <c r="F420" s="3">
        <f t="shared" si="24"/>
        <v>3.705123966942149E-2</v>
      </c>
      <c r="G420" s="3">
        <v>6.25</v>
      </c>
      <c r="H420" s="2">
        <v>0</v>
      </c>
      <c r="I420" s="63">
        <f t="shared" si="25"/>
        <v>0.23157024793388431</v>
      </c>
      <c r="J420" s="2" t="s">
        <v>10</v>
      </c>
      <c r="K420" s="2" t="s">
        <v>10</v>
      </c>
      <c r="L420" s="2" t="s">
        <v>10</v>
      </c>
      <c r="M420" s="3" t="s">
        <v>14</v>
      </c>
      <c r="N420" s="3" t="s">
        <v>15</v>
      </c>
      <c r="O420" s="202" t="s">
        <v>10</v>
      </c>
      <c r="P420" s="202"/>
      <c r="Q420" s="202"/>
    </row>
    <row r="421" spans="1:17" hidden="1" x14ac:dyDescent="0.3">
      <c r="A421" s="31">
        <v>43360</v>
      </c>
      <c r="B421" s="3" t="s">
        <v>10</v>
      </c>
      <c r="C421" s="2" t="s">
        <v>837</v>
      </c>
      <c r="D421" s="2">
        <v>0.1208</v>
      </c>
      <c r="E421" s="2">
        <v>19.103999999999999</v>
      </c>
      <c r="F421" s="3">
        <f t="shared" si="24"/>
        <v>22.156211920529802</v>
      </c>
      <c r="G421" s="3">
        <v>6.25</v>
      </c>
      <c r="H421" s="2">
        <v>0</v>
      </c>
      <c r="I421" s="63">
        <f t="shared" si="25"/>
        <v>138.47632450331128</v>
      </c>
      <c r="J421" s="2" t="s">
        <v>10</v>
      </c>
      <c r="K421" s="2" t="s">
        <v>10</v>
      </c>
      <c r="L421" s="2" t="s">
        <v>10</v>
      </c>
      <c r="M421" s="3" t="s">
        <v>14</v>
      </c>
      <c r="N421" s="3" t="s">
        <v>15</v>
      </c>
      <c r="O421" s="202" t="s">
        <v>10</v>
      </c>
      <c r="P421" s="202"/>
      <c r="Q421" s="202"/>
    </row>
    <row r="422" spans="1:17" hidden="1" x14ac:dyDescent="0.3">
      <c r="A422" s="31">
        <v>43369</v>
      </c>
      <c r="B422" s="3" t="s">
        <v>1188</v>
      </c>
      <c r="C422" s="2" t="s">
        <v>1189</v>
      </c>
      <c r="D422" s="2">
        <v>1.2129000000000001</v>
      </c>
      <c r="E422" s="2">
        <v>68.468000000000004</v>
      </c>
      <c r="F422" s="3">
        <f t="shared" si="24"/>
        <v>7.9086213208013847</v>
      </c>
      <c r="G422" s="3">
        <v>6.25</v>
      </c>
      <c r="H422" s="2">
        <v>0</v>
      </c>
      <c r="I422" s="63">
        <f t="shared" si="25"/>
        <v>49.428883255008657</v>
      </c>
      <c r="J422" s="204">
        <f>+AVERAGE(I422:I423)</f>
        <v>48.723582139769846</v>
      </c>
      <c r="K422" s="202">
        <f>+STDEVA(I422:I423)</f>
        <v>0.99744640272760066</v>
      </c>
      <c r="L422" s="202">
        <f>+(K422/J422)*100</f>
        <v>2.047153265263415</v>
      </c>
      <c r="M422" s="3" t="s">
        <v>14</v>
      </c>
      <c r="N422" s="3" t="s">
        <v>15</v>
      </c>
      <c r="O422" s="202" t="s">
        <v>10</v>
      </c>
      <c r="P422" s="202"/>
      <c r="Q422" s="202"/>
    </row>
    <row r="423" spans="1:17" hidden="1" x14ac:dyDescent="0.3">
      <c r="A423" s="31">
        <v>43368</v>
      </c>
      <c r="B423" s="3" t="s">
        <v>1188</v>
      </c>
      <c r="C423" s="2" t="s">
        <v>1189</v>
      </c>
      <c r="D423" s="2">
        <v>1.2474000000000001</v>
      </c>
      <c r="E423" s="2">
        <v>68.406000000000006</v>
      </c>
      <c r="F423" s="3">
        <f t="shared" si="24"/>
        <v>7.6829249639249646</v>
      </c>
      <c r="G423" s="3">
        <v>6.25</v>
      </c>
      <c r="H423" s="2">
        <v>0</v>
      </c>
      <c r="I423" s="63">
        <f t="shared" si="25"/>
        <v>48.018281024531028</v>
      </c>
      <c r="J423" s="204"/>
      <c r="K423" s="202"/>
      <c r="L423" s="202"/>
      <c r="M423" s="3" t="s">
        <v>14</v>
      </c>
      <c r="N423" s="3" t="s">
        <v>15</v>
      </c>
      <c r="O423" s="202" t="s">
        <v>10</v>
      </c>
      <c r="P423" s="202"/>
      <c r="Q423" s="202"/>
    </row>
    <row r="424" spans="1:17" hidden="1" x14ac:dyDescent="0.3">
      <c r="A424" s="31">
        <v>43368</v>
      </c>
      <c r="B424" s="3" t="s">
        <v>1188</v>
      </c>
      <c r="C424" s="2" t="s">
        <v>1189</v>
      </c>
      <c r="D424" s="2">
        <v>1.0003</v>
      </c>
      <c r="E424" s="2">
        <v>4.6820000000000004</v>
      </c>
      <c r="F424" s="3">
        <f>+E424*0.1*1.401*100/(D424*10)</f>
        <v>6.5575147455763281</v>
      </c>
      <c r="G424" s="3">
        <v>6.25</v>
      </c>
      <c r="H424" s="2">
        <v>0</v>
      </c>
      <c r="I424" s="63">
        <f t="shared" si="25"/>
        <v>40.984467159852052</v>
      </c>
      <c r="J424" s="204">
        <f>+AVERAGE(I424:I425)</f>
        <v>41.437561698678522</v>
      </c>
      <c r="K424" s="202">
        <f>+STDEVA(I424:I425)</f>
        <v>0.64077244184557647</v>
      </c>
      <c r="L424" s="202">
        <f>+(K424/J424)*100</f>
        <v>1.5463565315572398</v>
      </c>
      <c r="M424" s="3" t="s">
        <v>14</v>
      </c>
      <c r="N424" s="3" t="s">
        <v>15</v>
      </c>
      <c r="O424" s="202" t="s">
        <v>529</v>
      </c>
      <c r="P424" s="202"/>
      <c r="Q424" s="202"/>
    </row>
    <row r="425" spans="1:17" hidden="1" x14ac:dyDescent="0.3">
      <c r="A425" s="31">
        <v>43368</v>
      </c>
      <c r="B425" s="3" t="s">
        <v>1188</v>
      </c>
      <c r="C425" s="2" t="s">
        <v>1189</v>
      </c>
      <c r="D425" s="2">
        <v>1.0004</v>
      </c>
      <c r="E425" s="2">
        <v>4.7859999999999996</v>
      </c>
      <c r="F425" s="3">
        <f>+E425*0.1*1.401*100/(D425*10)</f>
        <v>6.7025049980007987</v>
      </c>
      <c r="G425" s="3">
        <v>6.25</v>
      </c>
      <c r="H425" s="2">
        <v>0</v>
      </c>
      <c r="I425" s="63">
        <f t="shared" si="25"/>
        <v>41.890656237504992</v>
      </c>
      <c r="J425" s="204"/>
      <c r="K425" s="202"/>
      <c r="L425" s="202"/>
      <c r="M425" s="3" t="s">
        <v>14</v>
      </c>
      <c r="N425" s="3" t="s">
        <v>15</v>
      </c>
      <c r="O425" s="202" t="s">
        <v>529</v>
      </c>
      <c r="P425" s="202"/>
      <c r="Q425" s="202"/>
    </row>
    <row r="426" spans="1:17" hidden="1" x14ac:dyDescent="0.3">
      <c r="A426" s="31">
        <v>43369</v>
      </c>
      <c r="B426" s="15" t="s">
        <v>1191</v>
      </c>
      <c r="C426" s="108" t="s">
        <v>1190</v>
      </c>
      <c r="D426">
        <f>+'FIBRA DIETARIA KIT'!H129</f>
        <v>1.2999999999998124E-2</v>
      </c>
      <c r="E426" s="44">
        <v>0.42399999999999999</v>
      </c>
      <c r="F426" s="3">
        <f t="shared" ref="F426:F436" si="26">+E426*0.1*14.01/(D426*10)</f>
        <v>4.5694153846160441</v>
      </c>
      <c r="G426" s="3">
        <v>6.25</v>
      </c>
      <c r="H426" s="2">
        <v>0</v>
      </c>
      <c r="I426" s="63">
        <f t="shared" si="25"/>
        <v>28.558846153850276</v>
      </c>
      <c r="J426" s="2" t="s">
        <v>10</v>
      </c>
      <c r="K426" s="2" t="s">
        <v>10</v>
      </c>
      <c r="L426" s="2" t="s">
        <v>10</v>
      </c>
      <c r="M426" s="3" t="s">
        <v>14</v>
      </c>
      <c r="N426" s="3" t="s">
        <v>15</v>
      </c>
      <c r="O426" s="202" t="s">
        <v>10</v>
      </c>
      <c r="P426" s="202"/>
      <c r="Q426" s="202"/>
    </row>
    <row r="427" spans="1:17" hidden="1" x14ac:dyDescent="0.3">
      <c r="A427" s="31">
        <v>43374</v>
      </c>
      <c r="B427" s="15" t="s">
        <v>1193</v>
      </c>
      <c r="C427" s="2" t="s">
        <v>1196</v>
      </c>
      <c r="D427" s="2">
        <f>+'FIBRA DIETARIA KIT'!H131</f>
        <v>0.61520000000000152</v>
      </c>
      <c r="E427" s="2">
        <v>54.588000000000001</v>
      </c>
      <c r="F427" s="3">
        <f t="shared" si="26"/>
        <v>12.431369960988267</v>
      </c>
      <c r="G427" s="3">
        <v>6.25</v>
      </c>
      <c r="H427" s="2">
        <v>0</v>
      </c>
      <c r="I427" s="63">
        <f t="shared" si="25"/>
        <v>77.696062256176674</v>
      </c>
      <c r="J427" s="2" t="s">
        <v>10</v>
      </c>
      <c r="K427" s="2" t="s">
        <v>10</v>
      </c>
      <c r="L427" s="2" t="s">
        <v>10</v>
      </c>
      <c r="M427" s="3" t="s">
        <v>14</v>
      </c>
      <c r="N427" s="3" t="s">
        <v>15</v>
      </c>
      <c r="O427" s="202" t="s">
        <v>10</v>
      </c>
      <c r="P427" s="202"/>
      <c r="Q427" s="202"/>
    </row>
    <row r="428" spans="1:17" hidden="1" x14ac:dyDescent="0.3">
      <c r="A428" s="31">
        <v>43374</v>
      </c>
      <c r="B428" s="15" t="s">
        <v>1193</v>
      </c>
      <c r="C428" s="2" t="s">
        <v>1197</v>
      </c>
      <c r="D428" s="2">
        <f>+'FIBRA DIETARIA KIT'!H133</f>
        <v>1.3400000000004297E-2</v>
      </c>
      <c r="E428" s="2">
        <v>0.96399999999999997</v>
      </c>
      <c r="F428" s="3">
        <f t="shared" si="26"/>
        <v>10.078835820892289</v>
      </c>
      <c r="G428" s="3">
        <v>6.25</v>
      </c>
      <c r="H428" s="2">
        <v>0</v>
      </c>
      <c r="I428" s="63">
        <f t="shared" si="25"/>
        <v>62.992723880576804</v>
      </c>
      <c r="J428" s="2" t="s">
        <v>10</v>
      </c>
      <c r="K428" s="2" t="s">
        <v>10</v>
      </c>
      <c r="L428" s="2" t="s">
        <v>10</v>
      </c>
      <c r="M428" s="3" t="s">
        <v>14</v>
      </c>
      <c r="N428" s="3" t="s">
        <v>15</v>
      </c>
      <c r="O428" s="202" t="s">
        <v>10</v>
      </c>
      <c r="P428" s="202"/>
      <c r="Q428" s="202"/>
    </row>
    <row r="429" spans="1:17" hidden="1" x14ac:dyDescent="0.3">
      <c r="A429" s="31">
        <v>43376</v>
      </c>
      <c r="B429" s="3" t="s">
        <v>960</v>
      </c>
      <c r="C429" s="2" t="s">
        <v>961</v>
      </c>
      <c r="D429" s="2">
        <v>1.0008999999999999</v>
      </c>
      <c r="E429" s="2">
        <v>75.42</v>
      </c>
      <c r="F429" s="3">
        <f t="shared" si="26"/>
        <v>10.556840843241085</v>
      </c>
      <c r="G429" s="3">
        <v>5.55</v>
      </c>
      <c r="H429" s="2">
        <v>0</v>
      </c>
      <c r="I429" s="63">
        <f t="shared" si="25"/>
        <v>58.590466679988019</v>
      </c>
      <c r="J429" s="2" t="s">
        <v>10</v>
      </c>
      <c r="K429" s="2" t="s">
        <v>10</v>
      </c>
      <c r="L429" s="2" t="s">
        <v>10</v>
      </c>
      <c r="M429" s="3" t="s">
        <v>14</v>
      </c>
      <c r="N429" s="3" t="s">
        <v>15</v>
      </c>
      <c r="O429" s="202" t="s">
        <v>10</v>
      </c>
      <c r="P429" s="202"/>
      <c r="Q429" s="202"/>
    </row>
    <row r="430" spans="1:17" ht="16.5" customHeight="1" x14ac:dyDescent="0.3">
      <c r="A430" s="31">
        <v>43376</v>
      </c>
      <c r="B430" s="3" t="s">
        <v>960</v>
      </c>
      <c r="C430" s="2" t="s">
        <v>961</v>
      </c>
      <c r="D430" s="152">
        <v>1.0008999999999999</v>
      </c>
      <c r="E430" s="152">
        <v>75.974000000000004</v>
      </c>
      <c r="F430" s="152">
        <f t="shared" si="26"/>
        <v>10.634386452193029</v>
      </c>
      <c r="G430" s="3">
        <v>5.55</v>
      </c>
      <c r="H430" s="151">
        <v>0</v>
      </c>
      <c r="I430" s="63">
        <f t="shared" si="25"/>
        <v>59.02084480967131</v>
      </c>
      <c r="J430" s="204">
        <f>+AVERAGE(I430:I431)</f>
        <v>59.22560298677746</v>
      </c>
      <c r="K430" s="204">
        <f>+STDEVA(I430:I431)</f>
        <v>0.28957179107030978</v>
      </c>
      <c r="L430" s="227">
        <f>+(K430/J430)*100</f>
        <v>0.48893008507648078</v>
      </c>
      <c r="M430" s="3" t="s">
        <v>14</v>
      </c>
      <c r="N430" s="3" t="s">
        <v>15</v>
      </c>
      <c r="O430" s="202" t="s">
        <v>10</v>
      </c>
      <c r="P430" s="202"/>
      <c r="Q430" s="202"/>
    </row>
    <row r="431" spans="1:17" ht="16.5" customHeight="1" x14ac:dyDescent="0.3">
      <c r="A431" s="31">
        <v>43376</v>
      </c>
      <c r="B431" s="3" t="s">
        <v>960</v>
      </c>
      <c r="C431" s="2" t="s">
        <v>961</v>
      </c>
      <c r="D431" s="152">
        <v>1.0001</v>
      </c>
      <c r="E431" s="152">
        <v>76.44</v>
      </c>
      <c r="F431" s="152">
        <f t="shared" si="26"/>
        <v>10.708173182681731</v>
      </c>
      <c r="G431" s="3">
        <v>5.55</v>
      </c>
      <c r="H431" s="151">
        <v>0</v>
      </c>
      <c r="I431" s="63">
        <f t="shared" si="25"/>
        <v>59.43036116388361</v>
      </c>
      <c r="J431" s="204"/>
      <c r="K431" s="204"/>
      <c r="L431" s="229"/>
      <c r="M431" s="3" t="s">
        <v>14</v>
      </c>
      <c r="N431" s="3" t="s">
        <v>15</v>
      </c>
      <c r="O431" s="202" t="s">
        <v>10</v>
      </c>
      <c r="P431" s="202"/>
      <c r="Q431" s="202"/>
    </row>
    <row r="432" spans="1:17" ht="15.75" customHeight="1" x14ac:dyDescent="0.3">
      <c r="A432" s="31">
        <v>43376</v>
      </c>
      <c r="B432" s="3" t="s">
        <v>960</v>
      </c>
      <c r="C432" s="2" t="s">
        <v>961</v>
      </c>
      <c r="D432" s="152">
        <v>1.0008999999999999</v>
      </c>
      <c r="E432" s="152">
        <v>74.632000000000005</v>
      </c>
      <c r="F432" s="152">
        <f t="shared" si="26"/>
        <v>10.446541312818464</v>
      </c>
      <c r="G432" s="3">
        <v>5.55</v>
      </c>
      <c r="H432" s="151">
        <v>0</v>
      </c>
      <c r="I432" s="63">
        <f t="shared" si="25"/>
        <v>57.978304286142475</v>
      </c>
      <c r="J432" s="204">
        <f>+AVERAGE(I432:I433)</f>
        <v>58.672813397941852</v>
      </c>
      <c r="K432" s="204">
        <f>+STDEVA(I432:I433)</f>
        <v>0.98218420509837601</v>
      </c>
      <c r="L432" s="204">
        <f>+(K432/J432)*100</f>
        <v>1.6740022307040581</v>
      </c>
      <c r="M432" s="3" t="s">
        <v>14</v>
      </c>
      <c r="N432" s="3" t="s">
        <v>15</v>
      </c>
      <c r="O432" s="202" t="s">
        <v>10</v>
      </c>
      <c r="P432" s="202"/>
      <c r="Q432" s="202"/>
    </row>
    <row r="433" spans="1:17" ht="15" customHeight="1" x14ac:dyDescent="0.3">
      <c r="A433" s="31">
        <v>43376</v>
      </c>
      <c r="B433" s="3" t="s">
        <v>960</v>
      </c>
      <c r="C433" s="2" t="s">
        <v>961</v>
      </c>
      <c r="D433" s="152">
        <v>1.0008999999999999</v>
      </c>
      <c r="E433" s="152">
        <v>76.42</v>
      </c>
      <c r="F433" s="152">
        <f t="shared" si="26"/>
        <v>10.696814866620043</v>
      </c>
      <c r="G433" s="3">
        <v>5.55</v>
      </c>
      <c r="H433" s="151">
        <v>0</v>
      </c>
      <c r="I433" s="63">
        <f t="shared" si="25"/>
        <v>59.367322509741236</v>
      </c>
      <c r="J433" s="204"/>
      <c r="K433" s="204"/>
      <c r="L433" s="204"/>
      <c r="M433" s="3" t="s">
        <v>14</v>
      </c>
      <c r="N433" s="3" t="s">
        <v>15</v>
      </c>
      <c r="O433" s="202" t="s">
        <v>10</v>
      </c>
      <c r="P433" s="202"/>
      <c r="Q433" s="202"/>
    </row>
    <row r="434" spans="1:17" ht="15.75" customHeight="1" x14ac:dyDescent="0.3">
      <c r="A434" s="31">
        <v>43375</v>
      </c>
      <c r="B434" s="15" t="s">
        <v>1199</v>
      </c>
      <c r="C434" s="2" t="s">
        <v>1200</v>
      </c>
      <c r="D434" s="152">
        <f>+'FIBRA DIETARIA KIT'!H135</f>
        <v>0.11160000000000281</v>
      </c>
      <c r="E434" s="152">
        <v>0</v>
      </c>
      <c r="F434" s="152">
        <f t="shared" si="26"/>
        <v>0</v>
      </c>
      <c r="G434" s="3">
        <v>6.25</v>
      </c>
      <c r="H434" s="151">
        <v>0</v>
      </c>
      <c r="I434" s="63">
        <f t="shared" si="25"/>
        <v>0</v>
      </c>
      <c r="J434" s="151" t="s">
        <v>10</v>
      </c>
      <c r="K434" s="151" t="s">
        <v>10</v>
      </c>
      <c r="L434" s="151" t="s">
        <v>10</v>
      </c>
      <c r="M434" s="3" t="s">
        <v>14</v>
      </c>
      <c r="N434" s="3" t="s">
        <v>15</v>
      </c>
      <c r="O434" s="202" t="s">
        <v>10</v>
      </c>
      <c r="P434" s="202"/>
      <c r="Q434" s="202"/>
    </row>
    <row r="435" spans="1:17" ht="17.25" customHeight="1" x14ac:dyDescent="0.3">
      <c r="A435" s="31">
        <v>43378</v>
      </c>
      <c r="B435" s="15" t="s">
        <v>1206</v>
      </c>
      <c r="C435" s="2" t="s">
        <v>1205</v>
      </c>
      <c r="D435" s="152">
        <f>+'FIBRA DIETARIA KIT'!H137</f>
        <v>5.3499999999999659E-2</v>
      </c>
      <c r="E435" s="152">
        <v>4.2039999999999997</v>
      </c>
      <c r="F435" s="152">
        <f t="shared" si="26"/>
        <v>11.008979439252407</v>
      </c>
      <c r="G435" s="3">
        <v>6.25</v>
      </c>
      <c r="H435" s="151">
        <v>0</v>
      </c>
      <c r="I435" s="63">
        <f t="shared" si="25"/>
        <v>68.806121495327545</v>
      </c>
      <c r="J435" s="151" t="s">
        <v>10</v>
      </c>
      <c r="K435" s="151" t="s">
        <v>10</v>
      </c>
      <c r="L435" s="151" t="s">
        <v>10</v>
      </c>
      <c r="M435" s="3" t="s">
        <v>14</v>
      </c>
      <c r="N435" s="3" t="s">
        <v>15</v>
      </c>
      <c r="O435" s="202" t="s">
        <v>10</v>
      </c>
      <c r="P435" s="202"/>
      <c r="Q435" s="202"/>
    </row>
    <row r="436" spans="1:17" ht="17.25" customHeight="1" x14ac:dyDescent="0.3">
      <c r="A436" s="31" t="s">
        <v>1210</v>
      </c>
      <c r="B436" s="15" t="s">
        <v>1206</v>
      </c>
      <c r="C436" s="2" t="s">
        <v>1205</v>
      </c>
      <c r="D436" s="152">
        <f>+'FIBRA DIETARIA KIT'!H139</f>
        <v>1.5300000000003422E-2</v>
      </c>
      <c r="E436" s="152">
        <v>1.1819999999999999</v>
      </c>
      <c r="F436" s="152">
        <f t="shared" si="26"/>
        <v>10.823411764703462</v>
      </c>
      <c r="G436" s="3">
        <v>6.25</v>
      </c>
      <c r="H436" s="151">
        <v>0</v>
      </c>
      <c r="I436" s="63">
        <f t="shared" si="25"/>
        <v>67.646323529396639</v>
      </c>
      <c r="J436" s="151" t="s">
        <v>10</v>
      </c>
      <c r="K436" s="151" t="s">
        <v>10</v>
      </c>
      <c r="L436" s="151" t="s">
        <v>10</v>
      </c>
      <c r="M436" s="3" t="s">
        <v>14</v>
      </c>
      <c r="N436" s="3" t="s">
        <v>15</v>
      </c>
      <c r="O436" s="202" t="s">
        <v>10</v>
      </c>
      <c r="P436" s="202"/>
      <c r="Q436" s="202"/>
    </row>
  </sheetData>
  <autoFilter ref="A5:Q436" xr:uid="{00000000-0009-0000-0000-000007000000}">
    <filterColumn colId="2">
      <filters>
        <filter val="Doña guayaba light con fibra_ lote: 051-2 FDI"/>
        <filter val="Doña guayaba light con fibra_ lote: 051-2 FDS"/>
        <filter val="Dulce de guayaba en cubitos azucarados, doña guayaba LOTE 2618 VM"/>
        <filter val="Dulce de guayaba en cubitos azucarados, doña guayaba LOTE 2618 VM FDI"/>
        <filter val="Dulce de guayaba en cubitos azucarados, doña guayaba LOTE 2618 VM FDS"/>
      </filters>
    </filterColumn>
    <filterColumn colId="16" showButton="0"/>
  </autoFilter>
  <mergeCells count="540">
    <mergeCell ref="J424:J425"/>
    <mergeCell ref="K424:K425"/>
    <mergeCell ref="L424:L425"/>
    <mergeCell ref="O424:Q424"/>
    <mergeCell ref="O425:Q425"/>
    <mergeCell ref="J411:J412"/>
    <mergeCell ref="K411:K412"/>
    <mergeCell ref="L411:L412"/>
    <mergeCell ref="O411:Q412"/>
    <mergeCell ref="J414:J415"/>
    <mergeCell ref="K414:K415"/>
    <mergeCell ref="L414:L415"/>
    <mergeCell ref="J418:J419"/>
    <mergeCell ref="K418:K419"/>
    <mergeCell ref="L418:L419"/>
    <mergeCell ref="O420:Q420"/>
    <mergeCell ref="O421:Q421"/>
    <mergeCell ref="O422:Q422"/>
    <mergeCell ref="O423:Q423"/>
    <mergeCell ref="K392:K393"/>
    <mergeCell ref="L392:L393"/>
    <mergeCell ref="O390:Q390"/>
    <mergeCell ref="O391:Q391"/>
    <mergeCell ref="O394:Q394"/>
    <mergeCell ref="O397:Q397"/>
    <mergeCell ref="J422:J423"/>
    <mergeCell ref="K422:K423"/>
    <mergeCell ref="L422:L423"/>
    <mergeCell ref="O406:Q406"/>
    <mergeCell ref="O407:Q407"/>
    <mergeCell ref="O408:Q408"/>
    <mergeCell ref="O409:Q409"/>
    <mergeCell ref="O410:Q410"/>
    <mergeCell ref="O413:Q413"/>
    <mergeCell ref="O414:Q414"/>
    <mergeCell ref="O415:Q415"/>
    <mergeCell ref="O416:Q416"/>
    <mergeCell ref="O417:Q417"/>
    <mergeCell ref="O418:Q418"/>
    <mergeCell ref="O419:Q419"/>
    <mergeCell ref="K371:K372"/>
    <mergeCell ref="L371:L372"/>
    <mergeCell ref="J373:J374"/>
    <mergeCell ref="K373:K374"/>
    <mergeCell ref="L373:L374"/>
    <mergeCell ref="J375:J376"/>
    <mergeCell ref="K375:K376"/>
    <mergeCell ref="L375:L376"/>
    <mergeCell ref="J405:J406"/>
    <mergeCell ref="K405:K406"/>
    <mergeCell ref="L405:L406"/>
    <mergeCell ref="J384:J385"/>
    <mergeCell ref="K384:K385"/>
    <mergeCell ref="L384:L385"/>
    <mergeCell ref="J397:J398"/>
    <mergeCell ref="K397:K398"/>
    <mergeCell ref="L397:L398"/>
    <mergeCell ref="J395:J396"/>
    <mergeCell ref="K395:K396"/>
    <mergeCell ref="L395:L396"/>
    <mergeCell ref="J390:J391"/>
    <mergeCell ref="K390:K391"/>
    <mergeCell ref="L390:L391"/>
    <mergeCell ref="J392:J393"/>
    <mergeCell ref="J345:J346"/>
    <mergeCell ref="K345:K346"/>
    <mergeCell ref="L345:L346"/>
    <mergeCell ref="J347:J348"/>
    <mergeCell ref="K347:K348"/>
    <mergeCell ref="L347:L348"/>
    <mergeCell ref="J330:J331"/>
    <mergeCell ref="K330:K331"/>
    <mergeCell ref="L330:L331"/>
    <mergeCell ref="O275:Q275"/>
    <mergeCell ref="O276:Q276"/>
    <mergeCell ref="O277:Q277"/>
    <mergeCell ref="O278:Q278"/>
    <mergeCell ref="O279:Q279"/>
    <mergeCell ref="O280:Q280"/>
    <mergeCell ref="O281:Q281"/>
    <mergeCell ref="J325:J326"/>
    <mergeCell ref="K325:K326"/>
    <mergeCell ref="L325:L326"/>
    <mergeCell ref="J316:J317"/>
    <mergeCell ref="K316:K317"/>
    <mergeCell ref="L316:L317"/>
    <mergeCell ref="J318:J319"/>
    <mergeCell ref="K318:K319"/>
    <mergeCell ref="L318:L319"/>
    <mergeCell ref="O282:Q282"/>
    <mergeCell ref="O283:Q283"/>
    <mergeCell ref="O284:Q284"/>
    <mergeCell ref="O285:Q285"/>
    <mergeCell ref="O286:Q286"/>
    <mergeCell ref="O287:Q287"/>
    <mergeCell ref="O289:Q289"/>
    <mergeCell ref="O290:Q290"/>
    <mergeCell ref="J255:J256"/>
    <mergeCell ref="K255:K256"/>
    <mergeCell ref="L255:L256"/>
    <mergeCell ref="O253:Q253"/>
    <mergeCell ref="O254:Q254"/>
    <mergeCell ref="O255:Q255"/>
    <mergeCell ref="O256:Q256"/>
    <mergeCell ref="J313:J314"/>
    <mergeCell ref="K313:K314"/>
    <mergeCell ref="L313:L314"/>
    <mergeCell ref="O259:Q259"/>
    <mergeCell ref="O260:Q260"/>
    <mergeCell ref="O261:Q261"/>
    <mergeCell ref="O262:Q262"/>
    <mergeCell ref="O263:Q263"/>
    <mergeCell ref="O264:Q264"/>
    <mergeCell ref="O265:Q265"/>
    <mergeCell ref="O288:Q288"/>
    <mergeCell ref="O266:Q266"/>
    <mergeCell ref="O268:Q268"/>
    <mergeCell ref="O271:Q271"/>
    <mergeCell ref="O272:Q272"/>
    <mergeCell ref="O273:Q273"/>
    <mergeCell ref="O274:Q274"/>
    <mergeCell ref="O201:Q201"/>
    <mergeCell ref="O202:Q202"/>
    <mergeCell ref="O203:Q203"/>
    <mergeCell ref="O204:Q204"/>
    <mergeCell ref="O205:Q205"/>
    <mergeCell ref="O206:Q206"/>
    <mergeCell ref="J253:J254"/>
    <mergeCell ref="K253:K254"/>
    <mergeCell ref="L253:L254"/>
    <mergeCell ref="O207:Q207"/>
    <mergeCell ref="O208:Q208"/>
    <mergeCell ref="O209:Q209"/>
    <mergeCell ref="O210:Q210"/>
    <mergeCell ref="O211:Q211"/>
    <mergeCell ref="O212:Q212"/>
    <mergeCell ref="O213:Q213"/>
    <mergeCell ref="O214:Q214"/>
    <mergeCell ref="O215:Q215"/>
    <mergeCell ref="O216:Q216"/>
    <mergeCell ref="O217:Q217"/>
    <mergeCell ref="O218:Q218"/>
    <mergeCell ref="O219:Q219"/>
    <mergeCell ref="O220:Q220"/>
    <mergeCell ref="O221:Q221"/>
    <mergeCell ref="O184:Q184"/>
    <mergeCell ref="O185:Q185"/>
    <mergeCell ref="O186:Q186"/>
    <mergeCell ref="O187:Q187"/>
    <mergeCell ref="O188:Q188"/>
    <mergeCell ref="O198:Q198"/>
    <mergeCell ref="O199:Q199"/>
    <mergeCell ref="O200:Q200"/>
    <mergeCell ref="O189:Q189"/>
    <mergeCell ref="O190:Q190"/>
    <mergeCell ref="O191:Q191"/>
    <mergeCell ref="O192:Q192"/>
    <mergeCell ref="O193:Q193"/>
    <mergeCell ref="O194:Q194"/>
    <mergeCell ref="O195:Q195"/>
    <mergeCell ref="O196:Q196"/>
    <mergeCell ref="O197:Q197"/>
    <mergeCell ref="O175:Q175"/>
    <mergeCell ref="O176:Q176"/>
    <mergeCell ref="O177:Q177"/>
    <mergeCell ref="O178:Q178"/>
    <mergeCell ref="O179:Q179"/>
    <mergeCell ref="O180:Q180"/>
    <mergeCell ref="O181:Q181"/>
    <mergeCell ref="O182:Q182"/>
    <mergeCell ref="O183:Q183"/>
    <mergeCell ref="O166:Q166"/>
    <mergeCell ref="O167:Q167"/>
    <mergeCell ref="O168:Q168"/>
    <mergeCell ref="O169:Q169"/>
    <mergeCell ref="O170:Q170"/>
    <mergeCell ref="O171:Q171"/>
    <mergeCell ref="O172:Q172"/>
    <mergeCell ref="O173:Q173"/>
    <mergeCell ref="O174:Q174"/>
    <mergeCell ref="O120:Q120"/>
    <mergeCell ref="O121:Q121"/>
    <mergeCell ref="O122:Q122"/>
    <mergeCell ref="O145:Q145"/>
    <mergeCell ref="O146:Q146"/>
    <mergeCell ref="O139:Q139"/>
    <mergeCell ref="O140:Q140"/>
    <mergeCell ref="O164:Q164"/>
    <mergeCell ref="O165:Q165"/>
    <mergeCell ref="O162:Q162"/>
    <mergeCell ref="O163:Q163"/>
    <mergeCell ref="O153:Q153"/>
    <mergeCell ref="O154:Q154"/>
    <mergeCell ref="O155:Q155"/>
    <mergeCell ref="O156:Q156"/>
    <mergeCell ref="O157:Q157"/>
    <mergeCell ref="O158:Q158"/>
    <mergeCell ref="O159:Q159"/>
    <mergeCell ref="O160:Q160"/>
    <mergeCell ref="O161:Q161"/>
    <mergeCell ref="O42:Q42"/>
    <mergeCell ref="O43:Q43"/>
    <mergeCell ref="O44:Q44"/>
    <mergeCell ref="O114:Q114"/>
    <mergeCell ref="O115:Q115"/>
    <mergeCell ref="O116:Q116"/>
    <mergeCell ref="O45:Q45"/>
    <mergeCell ref="O46:Q46"/>
    <mergeCell ref="O47:Q47"/>
    <mergeCell ref="O48:Q48"/>
    <mergeCell ref="O49:Q49"/>
    <mergeCell ref="O50:Q50"/>
    <mergeCell ref="O51:Q51"/>
    <mergeCell ref="O52:Q52"/>
    <mergeCell ref="O65:Q65"/>
    <mergeCell ref="O53:Q53"/>
    <mergeCell ref="O54:Q54"/>
    <mergeCell ref="O55:Q55"/>
    <mergeCell ref="O56:Q56"/>
    <mergeCell ref="O57:Q57"/>
    <mergeCell ref="O58:Q58"/>
    <mergeCell ref="O59:Q59"/>
    <mergeCell ref="O60:Q60"/>
    <mergeCell ref="O85:Q85"/>
    <mergeCell ref="A1:B3"/>
    <mergeCell ref="C1:H3"/>
    <mergeCell ref="O7:Q7"/>
    <mergeCell ref="O8:Q8"/>
    <mergeCell ref="O9:Q9"/>
    <mergeCell ref="O10:Q10"/>
    <mergeCell ref="O11:Q11"/>
    <mergeCell ref="J5:J6"/>
    <mergeCell ref="K5:K6"/>
    <mergeCell ref="L5:L6"/>
    <mergeCell ref="A5:A6"/>
    <mergeCell ref="C5:C6"/>
    <mergeCell ref="A4:E4"/>
    <mergeCell ref="F4:G4"/>
    <mergeCell ref="H4:I4"/>
    <mergeCell ref="O5:Q6"/>
    <mergeCell ref="H5:H6"/>
    <mergeCell ref="N5:N6"/>
    <mergeCell ref="I5:I6"/>
    <mergeCell ref="M5:M6"/>
    <mergeCell ref="B5:B6"/>
    <mergeCell ref="D5:D6"/>
    <mergeCell ref="E5:E6"/>
    <mergeCell ref="F5:F6"/>
    <mergeCell ref="G5:G6"/>
    <mergeCell ref="O4:Q4"/>
    <mergeCell ref="O77:Q77"/>
    <mergeCell ref="O78:Q78"/>
    <mergeCell ref="O89:Q89"/>
    <mergeCell ref="O90:Q90"/>
    <mergeCell ref="O91:Q91"/>
    <mergeCell ref="O92:Q92"/>
    <mergeCell ref="O93:Q93"/>
    <mergeCell ref="O75:Q75"/>
    <mergeCell ref="O76:Q76"/>
    <mergeCell ref="O69:Q69"/>
    <mergeCell ref="O70:Q70"/>
    <mergeCell ref="O71:Q71"/>
    <mergeCell ref="O72:Q72"/>
    <mergeCell ref="O73:Q73"/>
    <mergeCell ref="O74:Q74"/>
    <mergeCell ref="O18:Q18"/>
    <mergeCell ref="O26:Q26"/>
    <mergeCell ref="O27:Q27"/>
    <mergeCell ref="O28:Q28"/>
    <mergeCell ref="O29:Q29"/>
    <mergeCell ref="O30:Q30"/>
    <mergeCell ref="O31:Q31"/>
    <mergeCell ref="O24:Q24"/>
    <mergeCell ref="O25:Q25"/>
    <mergeCell ref="O19:Q19"/>
    <mergeCell ref="O20:Q20"/>
    <mergeCell ref="O15:Q15"/>
    <mergeCell ref="O16:Q16"/>
    <mergeCell ref="O17:Q17"/>
    <mergeCell ref="O67:Q67"/>
    <mergeCell ref="O68:Q68"/>
    <mergeCell ref="O66:Q66"/>
    <mergeCell ref="O61:Q61"/>
    <mergeCell ref="O62:Q62"/>
    <mergeCell ref="O63:Q63"/>
    <mergeCell ref="O64:Q64"/>
    <mergeCell ref="O32:Q32"/>
    <mergeCell ref="O33:Q33"/>
    <mergeCell ref="O34:Q34"/>
    <mergeCell ref="O35:Q35"/>
    <mergeCell ref="O36:Q36"/>
    <mergeCell ref="O37:Q37"/>
    <mergeCell ref="O38:Q38"/>
    <mergeCell ref="O39:Q39"/>
    <mergeCell ref="O40:Q40"/>
    <mergeCell ref="O41:Q41"/>
    <mergeCell ref="I1:Q1"/>
    <mergeCell ref="I2:Q2"/>
    <mergeCell ref="I3:Q3"/>
    <mergeCell ref="O12:Q12"/>
    <mergeCell ref="O13:Q13"/>
    <mergeCell ref="O14:Q14"/>
    <mergeCell ref="O21:Q21"/>
    <mergeCell ref="O22:Q22"/>
    <mergeCell ref="O23:Q23"/>
    <mergeCell ref="O99:Q99"/>
    <mergeCell ref="O79:Q79"/>
    <mergeCell ref="O80:Q80"/>
    <mergeCell ref="O100:Q100"/>
    <mergeCell ref="O102:Q102"/>
    <mergeCell ref="O84:Q84"/>
    <mergeCell ref="O96:Q96"/>
    <mergeCell ref="O97:Q97"/>
    <mergeCell ref="O95:Q95"/>
    <mergeCell ref="O88:Q88"/>
    <mergeCell ref="O83:Q83"/>
    <mergeCell ref="O86:Q86"/>
    <mergeCell ref="O87:Q87"/>
    <mergeCell ref="O101:Q101"/>
    <mergeCell ref="O98:Q98"/>
    <mergeCell ref="O82:Q82"/>
    <mergeCell ref="O94:Q94"/>
    <mergeCell ref="O81:Q81"/>
    <mergeCell ref="O112:Q112"/>
    <mergeCell ref="O113:Q113"/>
    <mergeCell ref="O131:Q131"/>
    <mergeCell ref="O132:Q132"/>
    <mergeCell ref="O133:Q133"/>
    <mergeCell ref="O124:Q124"/>
    <mergeCell ref="O148:Q148"/>
    <mergeCell ref="O141:Q141"/>
    <mergeCell ref="O142:Q142"/>
    <mergeCell ref="O143:Q143"/>
    <mergeCell ref="O144:Q144"/>
    <mergeCell ref="O147:Q147"/>
    <mergeCell ref="O134:Q134"/>
    <mergeCell ref="O135:Q135"/>
    <mergeCell ref="O136:Q136"/>
    <mergeCell ref="O137:Q137"/>
    <mergeCell ref="O138:Q138"/>
    <mergeCell ref="O129:Q129"/>
    <mergeCell ref="O130:Q130"/>
    <mergeCell ref="O125:Q125"/>
    <mergeCell ref="O126:Q126"/>
    <mergeCell ref="O127:Q127"/>
    <mergeCell ref="O128:Q128"/>
    <mergeCell ref="O119:Q119"/>
    <mergeCell ref="J377:J378"/>
    <mergeCell ref="K377:K378"/>
    <mergeCell ref="L377:L378"/>
    <mergeCell ref="J379:J380"/>
    <mergeCell ref="K379:K380"/>
    <mergeCell ref="L379:L380"/>
    <mergeCell ref="J371:J372"/>
    <mergeCell ref="O104:Q104"/>
    <mergeCell ref="O103:Q103"/>
    <mergeCell ref="O123:Q123"/>
    <mergeCell ref="O117:Q117"/>
    <mergeCell ref="O150:Q150"/>
    <mergeCell ref="O151:Q151"/>
    <mergeCell ref="O152:Q152"/>
    <mergeCell ref="O118:Q118"/>
    <mergeCell ref="O109:Q109"/>
    <mergeCell ref="O110:Q110"/>
    <mergeCell ref="O111:Q111"/>
    <mergeCell ref="O149:Q149"/>
    <mergeCell ref="O105:Q105"/>
    <mergeCell ref="O106:Q106"/>
    <mergeCell ref="O107:Q107"/>
    <mergeCell ref="O108:Q108"/>
    <mergeCell ref="J363:J364"/>
    <mergeCell ref="J359:J360"/>
    <mergeCell ref="K359:K360"/>
    <mergeCell ref="L359:L360"/>
    <mergeCell ref="J365:J366"/>
    <mergeCell ref="K365:K366"/>
    <mergeCell ref="L365:L366"/>
    <mergeCell ref="J367:J368"/>
    <mergeCell ref="K367:K368"/>
    <mergeCell ref="L367:L368"/>
    <mergeCell ref="K363:K364"/>
    <mergeCell ref="L363:L364"/>
    <mergeCell ref="O222:Q222"/>
    <mergeCell ref="O223:Q223"/>
    <mergeCell ref="O224:Q224"/>
    <mergeCell ref="O225:Q225"/>
    <mergeCell ref="O226:Q226"/>
    <mergeCell ref="O227:Q227"/>
    <mergeCell ref="O228:Q228"/>
    <mergeCell ref="O229:Q229"/>
    <mergeCell ref="O230:Q230"/>
    <mergeCell ref="O231:Q231"/>
    <mergeCell ref="O232:Q232"/>
    <mergeCell ref="O233:Q233"/>
    <mergeCell ref="O234:Q234"/>
    <mergeCell ref="O235:Q235"/>
    <mergeCell ref="O236:Q236"/>
    <mergeCell ref="O237:Q237"/>
    <mergeCell ref="O238:Q238"/>
    <mergeCell ref="O239:Q239"/>
    <mergeCell ref="O241:Q241"/>
    <mergeCell ref="O242:Q242"/>
    <mergeCell ref="O243:Q243"/>
    <mergeCell ref="O240:Q240"/>
    <mergeCell ref="O244:Q244"/>
    <mergeCell ref="O245:Q245"/>
    <mergeCell ref="O249:Q249"/>
    <mergeCell ref="O250:Q250"/>
    <mergeCell ref="O251:Q251"/>
    <mergeCell ref="O252:Q252"/>
    <mergeCell ref="O267:Q267"/>
    <mergeCell ref="O269:Q269"/>
    <mergeCell ref="O270:Q270"/>
    <mergeCell ref="O257:Q257"/>
    <mergeCell ref="O258:Q258"/>
    <mergeCell ref="O247:Q247"/>
    <mergeCell ref="O248:Q248"/>
    <mergeCell ref="O246:Q246"/>
    <mergeCell ref="O291:Q291"/>
    <mergeCell ref="O292:Q292"/>
    <mergeCell ref="O293:Q293"/>
    <mergeCell ref="O294:Q294"/>
    <mergeCell ref="O295:Q295"/>
    <mergeCell ref="O296:Q296"/>
    <mergeCell ref="O297:Q297"/>
    <mergeCell ref="O298:Q298"/>
    <mergeCell ref="O299:Q299"/>
    <mergeCell ref="O300:Q300"/>
    <mergeCell ref="O301:Q301"/>
    <mergeCell ref="O302:Q302"/>
    <mergeCell ref="O303:Q303"/>
    <mergeCell ref="O304:Q304"/>
    <mergeCell ref="O305:Q305"/>
    <mergeCell ref="O306:Q306"/>
    <mergeCell ref="O307:Q307"/>
    <mergeCell ref="O308:Q308"/>
    <mergeCell ref="O309:Q309"/>
    <mergeCell ref="O310:Q310"/>
    <mergeCell ref="O311:Q311"/>
    <mergeCell ref="O312:Q312"/>
    <mergeCell ref="O313:Q313"/>
    <mergeCell ref="O314:Q314"/>
    <mergeCell ref="O315:Q315"/>
    <mergeCell ref="O316:Q316"/>
    <mergeCell ref="O317:Q317"/>
    <mergeCell ref="O318:Q318"/>
    <mergeCell ref="O319:Q319"/>
    <mergeCell ref="O320:Q320"/>
    <mergeCell ref="O321:Q321"/>
    <mergeCell ref="O322:Q322"/>
    <mergeCell ref="O323:Q323"/>
    <mergeCell ref="O324:Q324"/>
    <mergeCell ref="O325:Q325"/>
    <mergeCell ref="O326:Q326"/>
    <mergeCell ref="O327:Q327"/>
    <mergeCell ref="O330:Q330"/>
    <mergeCell ref="O331:Q331"/>
    <mergeCell ref="O332:Q332"/>
    <mergeCell ref="O333:Q333"/>
    <mergeCell ref="O334:Q334"/>
    <mergeCell ref="O335:Q335"/>
    <mergeCell ref="O336:Q336"/>
    <mergeCell ref="O337:Q337"/>
    <mergeCell ref="O328:Q328"/>
    <mergeCell ref="O329:Q329"/>
    <mergeCell ref="O338:Q338"/>
    <mergeCell ref="O339:Q339"/>
    <mergeCell ref="O340:Q340"/>
    <mergeCell ref="O341:Q341"/>
    <mergeCell ref="O342:Q342"/>
    <mergeCell ref="O343:Q343"/>
    <mergeCell ref="O344:Q344"/>
    <mergeCell ref="O345:Q345"/>
    <mergeCell ref="O346:Q346"/>
    <mergeCell ref="O347:Q347"/>
    <mergeCell ref="O348:Q348"/>
    <mergeCell ref="O349:Q349"/>
    <mergeCell ref="O350:Q350"/>
    <mergeCell ref="O351:Q351"/>
    <mergeCell ref="O352:Q352"/>
    <mergeCell ref="O353:Q353"/>
    <mergeCell ref="O354:Q354"/>
    <mergeCell ref="O355:Q355"/>
    <mergeCell ref="O356:Q356"/>
    <mergeCell ref="O357:Q357"/>
    <mergeCell ref="O358:Q358"/>
    <mergeCell ref="O359:Q359"/>
    <mergeCell ref="O360:Q360"/>
    <mergeCell ref="O361:Q361"/>
    <mergeCell ref="O362:Q362"/>
    <mergeCell ref="O363:Q363"/>
    <mergeCell ref="O364:Q364"/>
    <mergeCell ref="O367:Q367"/>
    <mergeCell ref="O368:Q368"/>
    <mergeCell ref="O371:Q371"/>
    <mergeCell ref="O372:Q372"/>
    <mergeCell ref="O373:Q373"/>
    <mergeCell ref="O374:Q374"/>
    <mergeCell ref="O375:Q375"/>
    <mergeCell ref="O376:Q376"/>
    <mergeCell ref="O377:Q377"/>
    <mergeCell ref="O369:Q369"/>
    <mergeCell ref="O370:Q370"/>
    <mergeCell ref="O378:Q378"/>
    <mergeCell ref="O379:Q379"/>
    <mergeCell ref="O380:Q380"/>
    <mergeCell ref="O381:Q381"/>
    <mergeCell ref="O382:Q382"/>
    <mergeCell ref="O383:Q383"/>
    <mergeCell ref="O384:Q384"/>
    <mergeCell ref="O385:Q385"/>
    <mergeCell ref="O386:Q386"/>
    <mergeCell ref="O389:Q389"/>
    <mergeCell ref="O387:Q387"/>
    <mergeCell ref="O388:Q388"/>
    <mergeCell ref="O398:Q398"/>
    <mergeCell ref="O401:Q401"/>
    <mergeCell ref="O402:Q402"/>
    <mergeCell ref="O403:Q403"/>
    <mergeCell ref="O404:Q404"/>
    <mergeCell ref="O405:Q405"/>
    <mergeCell ref="O400:Q400"/>
    <mergeCell ref="O399:Q399"/>
    <mergeCell ref="J430:J431"/>
    <mergeCell ref="K430:K431"/>
    <mergeCell ref="L430:L431"/>
    <mergeCell ref="J432:J433"/>
    <mergeCell ref="K432:K433"/>
    <mergeCell ref="L432:L433"/>
    <mergeCell ref="O435:Q435"/>
    <mergeCell ref="O436:Q436"/>
    <mergeCell ref="O426:Q426"/>
    <mergeCell ref="O427:Q427"/>
    <mergeCell ref="O428:Q428"/>
    <mergeCell ref="O429:Q429"/>
    <mergeCell ref="O430:Q430"/>
    <mergeCell ref="O431:Q431"/>
    <mergeCell ref="O432:Q432"/>
    <mergeCell ref="O433:Q433"/>
    <mergeCell ref="O434:Q434"/>
  </mergeCells>
  <pageMargins left="0.7" right="0.7" top="0.75" bottom="0.75" header="0.3" footer="0.3"/>
  <pageSetup scale="32" fitToHeight="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120"/>
  <sheetViews>
    <sheetView workbookViewId="0">
      <selection activeCell="D126" sqref="D126"/>
    </sheetView>
  </sheetViews>
  <sheetFormatPr baseColWidth="10" defaultRowHeight="16.5" x14ac:dyDescent="0.3"/>
  <cols>
    <col min="1" max="1" width="18.875" customWidth="1"/>
    <col min="2" max="2" width="15.625" customWidth="1"/>
    <col min="3" max="3" width="18.5" customWidth="1"/>
    <col min="7" max="7" width="12.75" customWidth="1"/>
    <col min="8" max="8" width="12.5" customWidth="1"/>
  </cols>
  <sheetData>
    <row r="1" spans="1:3" x14ac:dyDescent="0.3">
      <c r="A1" s="304" t="s">
        <v>555</v>
      </c>
      <c r="B1" s="304"/>
      <c r="C1" s="304"/>
    </row>
    <row r="2" spans="1:3" x14ac:dyDescent="0.3">
      <c r="A2" s="59" t="s">
        <v>221</v>
      </c>
      <c r="B2" s="316">
        <v>43250</v>
      </c>
      <c r="C2" s="317"/>
    </row>
    <row r="3" spans="1:3" x14ac:dyDescent="0.3">
      <c r="A3" s="311" t="s">
        <v>554</v>
      </c>
      <c r="B3" s="312"/>
      <c r="C3" s="312"/>
    </row>
    <row r="4" spans="1:3" x14ac:dyDescent="0.3">
      <c r="A4" s="305" t="s">
        <v>551</v>
      </c>
      <c r="B4" s="306" t="s">
        <v>552</v>
      </c>
      <c r="C4" s="308" t="s">
        <v>553</v>
      </c>
    </row>
    <row r="5" spans="1:3" x14ac:dyDescent="0.3">
      <c r="A5" s="305"/>
      <c r="B5" s="307"/>
      <c r="C5" s="309"/>
    </row>
    <row r="6" spans="1:3" x14ac:dyDescent="0.3">
      <c r="A6" s="305"/>
      <c r="B6" s="307"/>
      <c r="C6" s="309"/>
    </row>
    <row r="7" spans="1:3" x14ac:dyDescent="0.3">
      <c r="A7" s="15">
        <v>0.1</v>
      </c>
      <c r="B7" s="60">
        <v>80.5</v>
      </c>
      <c r="C7" s="60">
        <f t="shared" ref="C7:C12" si="0">2-LOG(B7)</f>
        <v>9.4204119632131489E-2</v>
      </c>
    </row>
    <row r="8" spans="1:3" x14ac:dyDescent="0.3">
      <c r="A8" s="15">
        <v>0.5</v>
      </c>
      <c r="B8" s="60">
        <v>37.1</v>
      </c>
      <c r="C8" s="60">
        <f t="shared" si="0"/>
        <v>0.43062609038495414</v>
      </c>
    </row>
    <row r="9" spans="1:3" x14ac:dyDescent="0.3">
      <c r="A9" s="15">
        <v>0.8</v>
      </c>
      <c r="B9" s="60">
        <v>18.600000000000001</v>
      </c>
      <c r="C9" s="60">
        <f t="shared" si="0"/>
        <v>0.73048705578208373</v>
      </c>
    </row>
    <row r="10" spans="1:3" x14ac:dyDescent="0.3">
      <c r="A10" s="15">
        <v>1</v>
      </c>
      <c r="B10" s="60">
        <v>14.5</v>
      </c>
      <c r="C10" s="60">
        <f t="shared" si="0"/>
        <v>0.83863199776502517</v>
      </c>
    </row>
    <row r="11" spans="1:3" x14ac:dyDescent="0.3">
      <c r="A11" s="15">
        <v>1.2</v>
      </c>
      <c r="B11" s="60">
        <v>10.6</v>
      </c>
      <c r="C11" s="60">
        <f t="shared" si="0"/>
        <v>0.97469413473522981</v>
      </c>
    </row>
    <row r="12" spans="1:3" x14ac:dyDescent="0.3">
      <c r="A12" s="15">
        <v>1.5</v>
      </c>
      <c r="B12" s="60">
        <v>4.72</v>
      </c>
      <c r="C12" s="60">
        <f t="shared" si="0"/>
        <v>1.3260580013659122</v>
      </c>
    </row>
    <row r="18" spans="1:3" x14ac:dyDescent="0.3">
      <c r="A18" s="304" t="s">
        <v>555</v>
      </c>
      <c r="B18" s="304"/>
      <c r="C18" s="304"/>
    </row>
    <row r="19" spans="1:3" x14ac:dyDescent="0.3">
      <c r="A19" s="59" t="s">
        <v>221</v>
      </c>
      <c r="B19" s="316">
        <v>43224</v>
      </c>
      <c r="C19" s="317"/>
    </row>
    <row r="20" spans="1:3" x14ac:dyDescent="0.3">
      <c r="A20" s="311" t="s">
        <v>554</v>
      </c>
      <c r="B20" s="312"/>
      <c r="C20" s="312"/>
    </row>
    <row r="21" spans="1:3" x14ac:dyDescent="0.3">
      <c r="A21" s="305" t="s">
        <v>551</v>
      </c>
      <c r="B21" s="306" t="s">
        <v>552</v>
      </c>
      <c r="C21" s="308" t="s">
        <v>553</v>
      </c>
    </row>
    <row r="22" spans="1:3" x14ac:dyDescent="0.3">
      <c r="A22" s="305"/>
      <c r="B22" s="307"/>
      <c r="C22" s="309"/>
    </row>
    <row r="23" spans="1:3" x14ac:dyDescent="0.3">
      <c r="A23" s="305"/>
      <c r="B23" s="307"/>
      <c r="C23" s="309"/>
    </row>
    <row r="24" spans="1:3" x14ac:dyDescent="0.3">
      <c r="A24" s="15">
        <v>0.1</v>
      </c>
      <c r="B24" s="60">
        <v>82.7</v>
      </c>
      <c r="C24" s="60">
        <f t="shared" ref="C24:C29" si="1">2-LOG(B24)</f>
        <v>8.2494490447453384E-2</v>
      </c>
    </row>
    <row r="25" spans="1:3" x14ac:dyDescent="0.3">
      <c r="A25" s="15">
        <v>0.5</v>
      </c>
      <c r="B25" s="60">
        <v>37.5</v>
      </c>
      <c r="C25" s="60">
        <f t="shared" si="1"/>
        <v>0.42596873227228116</v>
      </c>
    </row>
    <row r="26" spans="1:3" x14ac:dyDescent="0.3">
      <c r="A26" s="15">
        <v>0.8</v>
      </c>
      <c r="B26" s="60">
        <v>20.7</v>
      </c>
      <c r="C26" s="60">
        <f t="shared" si="1"/>
        <v>0.68402965454308218</v>
      </c>
    </row>
    <row r="27" spans="1:3" x14ac:dyDescent="0.3">
      <c r="A27" s="15">
        <v>1</v>
      </c>
      <c r="B27" s="60">
        <v>14.5</v>
      </c>
      <c r="C27" s="60">
        <f t="shared" si="1"/>
        <v>0.83863199776502517</v>
      </c>
    </row>
    <row r="28" spans="1:3" x14ac:dyDescent="0.3">
      <c r="A28" s="15">
        <v>1.2</v>
      </c>
      <c r="B28" s="60">
        <v>9.65</v>
      </c>
      <c r="C28" s="60">
        <f t="shared" si="1"/>
        <v>1.0154726866562074</v>
      </c>
    </row>
    <row r="29" spans="1:3" x14ac:dyDescent="0.3">
      <c r="A29" s="15">
        <v>1.5</v>
      </c>
      <c r="B29" s="60">
        <v>4.87</v>
      </c>
      <c r="C29" s="60">
        <f t="shared" si="1"/>
        <v>1.3124710387853655</v>
      </c>
    </row>
    <row r="37" spans="1:4" x14ac:dyDescent="0.3">
      <c r="A37" s="313" t="s">
        <v>825</v>
      </c>
      <c r="B37" s="314"/>
      <c r="C37" s="314"/>
      <c r="D37" s="315"/>
    </row>
    <row r="38" spans="1:4" x14ac:dyDescent="0.3">
      <c r="A38" s="94" t="s">
        <v>826</v>
      </c>
      <c r="B38" s="94" t="s">
        <v>827</v>
      </c>
      <c r="C38" s="94" t="s">
        <v>553</v>
      </c>
      <c r="D38" s="94" t="s">
        <v>828</v>
      </c>
    </row>
    <row r="39" spans="1:4" x14ac:dyDescent="0.3">
      <c r="A39" s="2">
        <v>0.1</v>
      </c>
      <c r="B39" s="2">
        <v>90.8</v>
      </c>
      <c r="C39" s="2">
        <f t="shared" ref="C39:C44" si="2">2-LOG10(B39)</f>
        <v>4.1914151478914974E-2</v>
      </c>
      <c r="D39" s="2" t="s">
        <v>14</v>
      </c>
    </row>
    <row r="40" spans="1:4" x14ac:dyDescent="0.3">
      <c r="A40" s="2">
        <v>0.5</v>
      </c>
      <c r="B40" s="2">
        <v>40.1</v>
      </c>
      <c r="C40" s="2">
        <f t="shared" si="2"/>
        <v>0.39685562737981761</v>
      </c>
      <c r="D40" s="2" t="s">
        <v>14</v>
      </c>
    </row>
    <row r="41" spans="1:4" x14ac:dyDescent="0.3">
      <c r="A41" s="2">
        <v>0.8</v>
      </c>
      <c r="B41" s="2">
        <v>23.1</v>
      </c>
      <c r="C41" s="2">
        <f t="shared" si="2"/>
        <v>0.63638802010785556</v>
      </c>
      <c r="D41" s="2" t="s">
        <v>14</v>
      </c>
    </row>
    <row r="42" spans="1:4" x14ac:dyDescent="0.3">
      <c r="A42" s="2">
        <v>1</v>
      </c>
      <c r="B42" s="2">
        <v>15.5</v>
      </c>
      <c r="C42" s="2">
        <f t="shared" si="2"/>
        <v>0.80966830182970861</v>
      </c>
      <c r="D42" s="2" t="s">
        <v>14</v>
      </c>
    </row>
    <row r="43" spans="1:4" x14ac:dyDescent="0.3">
      <c r="A43" s="2">
        <v>1.2</v>
      </c>
      <c r="B43" s="2">
        <v>10.1</v>
      </c>
      <c r="C43" s="2">
        <f t="shared" si="2"/>
        <v>0.99567862621735737</v>
      </c>
      <c r="D43" s="2" t="s">
        <v>14</v>
      </c>
    </row>
    <row r="44" spans="1:4" x14ac:dyDescent="0.3">
      <c r="A44" s="2">
        <v>1.5</v>
      </c>
      <c r="B44" s="2">
        <v>5.15</v>
      </c>
      <c r="C44" s="2">
        <f t="shared" si="2"/>
        <v>1.2881927709588088</v>
      </c>
      <c r="D44" s="2" t="s">
        <v>14</v>
      </c>
    </row>
    <row r="60" spans="1:8" x14ac:dyDescent="0.3">
      <c r="A60" s="310" t="s">
        <v>1005</v>
      </c>
      <c r="B60" s="310"/>
      <c r="C60" s="310"/>
      <c r="D60" s="310"/>
      <c r="E60" s="310"/>
      <c r="F60" s="310"/>
      <c r="G60" s="310"/>
      <c r="H60" s="310"/>
    </row>
    <row r="61" spans="1:8" x14ac:dyDescent="0.3">
      <c r="A61" s="94" t="s">
        <v>826</v>
      </c>
      <c r="B61" s="94" t="s">
        <v>827</v>
      </c>
      <c r="C61" s="94" t="s">
        <v>553</v>
      </c>
      <c r="D61" s="94" t="s">
        <v>1001</v>
      </c>
      <c r="E61" s="94" t="s">
        <v>1002</v>
      </c>
      <c r="F61" s="94" t="s">
        <v>1003</v>
      </c>
      <c r="G61" s="2"/>
      <c r="H61" s="94" t="s">
        <v>1004</v>
      </c>
    </row>
    <row r="62" spans="1:8" x14ac:dyDescent="0.3">
      <c r="A62" s="2">
        <v>0.5</v>
      </c>
      <c r="B62" s="63">
        <v>36.6</v>
      </c>
      <c r="C62" s="2">
        <f>2-LOG10(B62)</f>
        <v>0.43651891460558923</v>
      </c>
      <c r="D62" s="2">
        <v>0.86785259629232792</v>
      </c>
      <c r="E62" s="2">
        <v>-1.1163273436909482E-2</v>
      </c>
      <c r="F62" s="202">
        <f>+(C62-E62)/D62</f>
        <v>0.5158504911491919</v>
      </c>
      <c r="G62" s="202"/>
      <c r="H62" s="38">
        <f>+ABS((A62-F62)/A62)*100</f>
        <v>3.1700982298383806</v>
      </c>
    </row>
    <row r="63" spans="1:8" x14ac:dyDescent="0.3">
      <c r="A63" s="2">
        <v>1</v>
      </c>
      <c r="B63" s="63">
        <v>13.3</v>
      </c>
      <c r="C63" s="2">
        <f>2-LOG10(B63)</f>
        <v>0.87614835903291421</v>
      </c>
      <c r="D63" s="2">
        <v>0.86785259629232792</v>
      </c>
      <c r="E63" s="2">
        <v>-1.1163273436909482E-2</v>
      </c>
      <c r="F63" s="202">
        <f>+(C63-E63)/D63</f>
        <v>1.0224220521556648</v>
      </c>
      <c r="G63" s="202"/>
      <c r="H63" s="38">
        <f>+ABS((A63-F63)/A63)*100</f>
        <v>2.242205215566484</v>
      </c>
    </row>
    <row r="65" spans="1:8" x14ac:dyDescent="0.3">
      <c r="A65" s="310" t="s">
        <v>1061</v>
      </c>
      <c r="B65" s="310"/>
      <c r="C65" s="310"/>
      <c r="D65" s="310"/>
      <c r="E65" s="310"/>
      <c r="F65" s="310"/>
      <c r="G65" s="310"/>
      <c r="H65" s="310"/>
    </row>
    <row r="66" spans="1:8" x14ac:dyDescent="0.3">
      <c r="A66" s="94" t="s">
        <v>826</v>
      </c>
      <c r="B66" s="94" t="s">
        <v>827</v>
      </c>
      <c r="C66" s="94" t="s">
        <v>553</v>
      </c>
      <c r="D66" s="94" t="s">
        <v>1001</v>
      </c>
      <c r="E66" s="94" t="s">
        <v>1002</v>
      </c>
      <c r="F66" s="94" t="s">
        <v>1003</v>
      </c>
      <c r="G66" s="2"/>
      <c r="H66" s="94" t="s">
        <v>1004</v>
      </c>
    </row>
    <row r="67" spans="1:8" x14ac:dyDescent="0.3">
      <c r="A67" s="2">
        <v>0.5</v>
      </c>
      <c r="B67" s="63">
        <v>39.1</v>
      </c>
      <c r="C67" s="2">
        <f>2-LOG10(B67)</f>
        <v>0.40782324260413327</v>
      </c>
      <c r="D67" s="2">
        <v>0.86785259629232792</v>
      </c>
      <c r="E67" s="2">
        <v>-1.1163273436909482E-2</v>
      </c>
      <c r="F67" s="202">
        <f>+(C67-E67)/D67</f>
        <v>0.48278534607265394</v>
      </c>
      <c r="G67" s="202"/>
      <c r="H67" s="38">
        <f>+ABS((A67-F67)/A67)*100</f>
        <v>3.4429307854692115</v>
      </c>
    </row>
    <row r="68" spans="1:8" x14ac:dyDescent="0.3">
      <c r="A68" s="2">
        <v>1</v>
      </c>
      <c r="B68" s="63">
        <v>12.9</v>
      </c>
      <c r="C68" s="2">
        <f>2-LOG10(B68)</f>
        <v>0.88941028970075098</v>
      </c>
      <c r="D68" s="2">
        <v>0.86785259629232792</v>
      </c>
      <c r="E68" s="2">
        <v>-1.1163273436909482E-2</v>
      </c>
      <c r="F68" s="202">
        <f>+(C68-E68)/D68</f>
        <v>1.0377033691955573</v>
      </c>
      <c r="G68" s="202"/>
      <c r="H68" s="38">
        <f>+ABS((A68-F68)/A68)*100</f>
        <v>3.7703369195557279</v>
      </c>
    </row>
    <row r="70" spans="1:8" x14ac:dyDescent="0.3">
      <c r="A70" s="313" t="s">
        <v>1168</v>
      </c>
      <c r="B70" s="314"/>
      <c r="C70" s="314"/>
      <c r="D70" s="315"/>
    </row>
    <row r="71" spans="1:8" x14ac:dyDescent="0.3">
      <c r="A71" s="94" t="s">
        <v>826</v>
      </c>
      <c r="B71" s="94" t="s">
        <v>827</v>
      </c>
      <c r="C71" s="94" t="s">
        <v>553</v>
      </c>
      <c r="D71" s="94" t="s">
        <v>828</v>
      </c>
    </row>
    <row r="72" spans="1:8" x14ac:dyDescent="0.3">
      <c r="A72" s="2">
        <v>0.5</v>
      </c>
      <c r="B72" s="2">
        <v>35.799999999999997</v>
      </c>
      <c r="C72" s="2">
        <f>2-LOG10(B72)</f>
        <v>0.44611697335612566</v>
      </c>
      <c r="D72" s="2" t="s">
        <v>14</v>
      </c>
    </row>
    <row r="73" spans="1:8" x14ac:dyDescent="0.3">
      <c r="A73" s="2">
        <v>0.8</v>
      </c>
      <c r="B73" s="2">
        <v>20.5</v>
      </c>
      <c r="C73" s="2">
        <f>2-LOG10(B73)</f>
        <v>0.6882461389442458</v>
      </c>
      <c r="D73" s="2" t="s">
        <v>14</v>
      </c>
    </row>
    <row r="74" spans="1:8" x14ac:dyDescent="0.3">
      <c r="A74" s="2">
        <v>1.2</v>
      </c>
      <c r="B74" s="2">
        <v>8.9499999999999993</v>
      </c>
      <c r="C74" s="2">
        <f>2-LOG10(B74)</f>
        <v>1.0481769646840879</v>
      </c>
      <c r="D74" s="2" t="s">
        <v>14</v>
      </c>
    </row>
    <row r="75" spans="1:8" x14ac:dyDescent="0.3">
      <c r="A75" s="2">
        <v>1.5</v>
      </c>
      <c r="B75" s="2">
        <v>4.67</v>
      </c>
      <c r="C75" s="2">
        <f>2-LOG10(B75)</f>
        <v>1.3306831194338877</v>
      </c>
      <c r="D75" s="2" t="s">
        <v>14</v>
      </c>
    </row>
    <row r="91" spans="1:8" x14ac:dyDescent="0.3">
      <c r="A91" s="310"/>
      <c r="B91" s="310"/>
      <c r="C91" s="310"/>
      <c r="D91" s="310"/>
      <c r="E91" s="310"/>
      <c r="F91" s="310"/>
      <c r="G91" s="310"/>
      <c r="H91" s="310"/>
    </row>
    <row r="92" spans="1:8" x14ac:dyDescent="0.3">
      <c r="A92" s="94" t="s">
        <v>826</v>
      </c>
      <c r="B92" s="94" t="s">
        <v>827</v>
      </c>
      <c r="C92" s="94" t="s">
        <v>553</v>
      </c>
      <c r="D92" s="94" t="s">
        <v>1001</v>
      </c>
      <c r="E92" s="94" t="s">
        <v>1002</v>
      </c>
      <c r="F92" s="94" t="s">
        <v>1003</v>
      </c>
      <c r="G92" s="2"/>
      <c r="H92" s="94" t="s">
        <v>1004</v>
      </c>
    </row>
    <row r="93" spans="1:8" x14ac:dyDescent="0.3">
      <c r="A93" s="2">
        <v>0.8</v>
      </c>
      <c r="B93" s="63">
        <v>21.2</v>
      </c>
      <c r="C93" s="2">
        <f>2-LOG10(B93)</f>
        <v>0.67366413907124856</v>
      </c>
      <c r="D93" s="2">
        <v>0.88670000000000004</v>
      </c>
      <c r="E93" s="2">
        <v>-8.3999999999999995E-3</v>
      </c>
      <c r="F93" s="202">
        <f>+(C93-E93)/D93</f>
        <v>0.76921635172126812</v>
      </c>
      <c r="G93" s="202"/>
      <c r="H93" s="38">
        <f>+ABS((A93-F93)/A93)*100</f>
        <v>3.8479560348414905</v>
      </c>
    </row>
    <row r="94" spans="1:8" x14ac:dyDescent="0.3">
      <c r="A94" s="2">
        <v>1.2</v>
      </c>
      <c r="B94" s="63">
        <v>10.4</v>
      </c>
      <c r="C94" s="2">
        <f>2-LOG10(B94)</f>
        <v>0.98296666070121974</v>
      </c>
      <c r="D94" s="2">
        <v>0.88670000000000004</v>
      </c>
      <c r="E94" s="2">
        <v>-8.3999999999999995E-3</v>
      </c>
      <c r="F94" s="202">
        <f>+(C94-E94)/D94</f>
        <v>1.1180406684348931</v>
      </c>
      <c r="G94" s="202"/>
      <c r="H94" s="38">
        <f>+ABS((A94-F94)/A94)*100</f>
        <v>6.8299442970922355</v>
      </c>
    </row>
    <row r="98" spans="1:4" x14ac:dyDescent="0.3">
      <c r="A98" s="313" t="s">
        <v>1212</v>
      </c>
      <c r="B98" s="314"/>
      <c r="C98" s="314"/>
      <c r="D98" s="315"/>
    </row>
    <row r="99" spans="1:4" x14ac:dyDescent="0.3">
      <c r="A99" s="94" t="s">
        <v>826</v>
      </c>
      <c r="B99" s="94" t="s">
        <v>827</v>
      </c>
      <c r="C99" s="94" t="s">
        <v>553</v>
      </c>
      <c r="D99" s="94" t="s">
        <v>828</v>
      </c>
    </row>
    <row r="100" spans="1:4" x14ac:dyDescent="0.3">
      <c r="A100" s="2">
        <v>0.5</v>
      </c>
      <c r="B100" s="2"/>
      <c r="C100" s="2">
        <v>0.48199999999999998</v>
      </c>
      <c r="D100" s="2" t="s">
        <v>1213</v>
      </c>
    </row>
    <row r="101" spans="1:4" x14ac:dyDescent="0.3">
      <c r="A101" s="2">
        <v>0.8</v>
      </c>
      <c r="B101" s="2"/>
      <c r="C101" s="2">
        <v>0.73</v>
      </c>
      <c r="D101" s="2" t="s">
        <v>1213</v>
      </c>
    </row>
    <row r="102" spans="1:4" x14ac:dyDescent="0.3">
      <c r="A102" s="2">
        <v>1</v>
      </c>
      <c r="B102" s="2"/>
      <c r="C102" s="2">
        <v>0.89700000000000002</v>
      </c>
      <c r="D102" s="2" t="s">
        <v>1213</v>
      </c>
    </row>
    <row r="103" spans="1:4" x14ac:dyDescent="0.3">
      <c r="A103" s="2">
        <v>1.5</v>
      </c>
      <c r="B103" s="2"/>
      <c r="C103" s="2">
        <v>1.323</v>
      </c>
      <c r="D103" s="2" t="s">
        <v>1213</v>
      </c>
    </row>
    <row r="114" spans="1:4" x14ac:dyDescent="0.3">
      <c r="A114" s="313" t="s">
        <v>1215</v>
      </c>
      <c r="B114" s="314"/>
      <c r="C114" s="314"/>
      <c r="D114" s="315"/>
    </row>
    <row r="115" spans="1:4" x14ac:dyDescent="0.3">
      <c r="A115" s="94" t="s">
        <v>826</v>
      </c>
      <c r="B115" s="94" t="s">
        <v>827</v>
      </c>
      <c r="C115" s="94" t="s">
        <v>553</v>
      </c>
      <c r="D115" s="94" t="s">
        <v>828</v>
      </c>
    </row>
    <row r="116" spans="1:4" x14ac:dyDescent="0.3">
      <c r="A116" s="2">
        <v>0.5</v>
      </c>
      <c r="B116" s="2"/>
      <c r="C116" s="2">
        <v>0.52800000000000002</v>
      </c>
      <c r="D116" s="2" t="s">
        <v>1213</v>
      </c>
    </row>
    <row r="117" spans="1:4" x14ac:dyDescent="0.3">
      <c r="A117" s="2">
        <v>0.8</v>
      </c>
      <c r="B117" s="2"/>
      <c r="C117" s="2">
        <v>0.79800000000000004</v>
      </c>
      <c r="D117" s="2" t="s">
        <v>1213</v>
      </c>
    </row>
    <row r="118" spans="1:4" x14ac:dyDescent="0.3">
      <c r="A118" s="2">
        <v>1</v>
      </c>
      <c r="B118" s="2"/>
      <c r="C118" s="2">
        <v>0.96599999999999997</v>
      </c>
      <c r="D118" s="2" t="s">
        <v>1213</v>
      </c>
    </row>
    <row r="119" spans="1:4" x14ac:dyDescent="0.3">
      <c r="A119" s="2">
        <v>1.2</v>
      </c>
      <c r="B119" s="2"/>
      <c r="C119" s="2">
        <v>1.135</v>
      </c>
      <c r="D119" s="2" t="s">
        <v>1213</v>
      </c>
    </row>
    <row r="120" spans="1:4" x14ac:dyDescent="0.3">
      <c r="A120" s="2">
        <v>1.5</v>
      </c>
      <c r="B120" s="2"/>
      <c r="C120" s="2">
        <v>1.395</v>
      </c>
      <c r="D120" s="2" t="s">
        <v>1213</v>
      </c>
    </row>
  </sheetData>
  <mergeCells count="25">
    <mergeCell ref="A114:D114"/>
    <mergeCell ref="B2:C2"/>
    <mergeCell ref="F63:G63"/>
    <mergeCell ref="F62:G62"/>
    <mergeCell ref="A91:H91"/>
    <mergeCell ref="A60:H60"/>
    <mergeCell ref="A70:D70"/>
    <mergeCell ref="F67:G67"/>
    <mergeCell ref="F68:G68"/>
    <mergeCell ref="A98:D98"/>
    <mergeCell ref="F93:G93"/>
    <mergeCell ref="F94:G94"/>
    <mergeCell ref="A1:C1"/>
    <mergeCell ref="A4:A6"/>
    <mergeCell ref="B4:B6"/>
    <mergeCell ref="C4:C6"/>
    <mergeCell ref="A65:H65"/>
    <mergeCell ref="A20:C20"/>
    <mergeCell ref="A21:A23"/>
    <mergeCell ref="B21:B23"/>
    <mergeCell ref="C21:C23"/>
    <mergeCell ref="A37:D37"/>
    <mergeCell ref="A3:C3"/>
    <mergeCell ref="A18:C18"/>
    <mergeCell ref="B19:C19"/>
  </mergeCells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3 1 b 6 e e 7 9 - e f 6 7 - 4 5 9 6 - b 6 0 0 - 0 4 0 6 b 4 8 1 2 0 8 5 "   x m l n s = " h t t p : / / s c h e m a s . m i c r o s o f t . c o m / D a t a M a s h u p " > A A A A A P g G A A B Q S w M E F A A C A A g A y n C 4 U m Y M 0 F W j A A A A 9 Q A A A B I A H A B D b 2 5 m a W c v U G F j a 2 F n Z S 5 4 b W w g o h g A K K A U A A A A A A A A A A A A A A A A A A A A A A A A A A A A h Y + x D o I w G I R f h X S n L c i g 5 K c M r p K Y E I 0 r K R U a 4 c f Q Y n k 3 B x / J V x C j q J v J L X f 3 D X f 3 6 w 3 S s W 2 8 i + q N 7 j A h A e X E U y i 7 U m O V k M E e / S V J B W w L e S o q 5 U 0 w m n g 0 Z U J q a 8 8 x Y 8 4 5 6 h a 0 6 y s W c h 6 w Q 7 b J Z a 3 a g n x g / R / 2 N R p b o F R E w P 4 1 R o R 0 N S m K K A c 2 Z 5 B p / P b h N P f Z / o S w H h o 7 9 E o o 9 H c 5 s N k C e 1 8 Q D 1 B L A w Q U A A I A C A D K c L h S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y n C 4 U u g H 6 E f z A w A A A g 8 A A B M A H A B G b 3 J t d W x h c y 9 T Z W N 0 a W 9 u M S 5 t I K I Y A C i g F A A A A A A A A A A A A A A A A A A A A A A A A A A A A M 1 X 3 W 6 b S h C + j 5 R 3 W F F Z w g p x a r e 9 q n p B M e m h B 4 M F p J V i W d X a b B x U D O m C e 5 J a f o o + S h + h L 9 b Z 5 W 8 h E N t R L 0 5 u s j s 7 u / v N t 9 8 M 4 4 Q s 0 y C O k J v 9 H 7 4 9 P T k 9 S W 4 x J T 4 y j Y n h 6 S 5 6 h 0 K S n p 4 g + L N p s C I R W P T 7 J Q k H 2 o Z S E q W f Y / p 1 E c d f 5 f 5 2 Z u E 1 e S d 5 e B H i V 9 J 8 N 9 P i K A W X u Z I d 8 E L y g r s Y L f F 6 E W A / l u A o 5 k s G H s V R c h P T t R a H m 3 X k P d y R R M 6 u U 7 Z b a a J 6 j n E t K S i F B Z S S + 3 S n o K 2 U Q U R j H a m m 7 n h q 4 Y C j h 8 a 6 Z l u e Y 5 t N B 2 c 6 7 o m 2 X b 8 E m g H B C f q 2 C V L s 4 6 Q C 6 5 B 1 / J 1 k D o n c j E n J j 9 3 1 T 0 + C q P s 4 k e v x 1 d Q 0 N H V s P 5 / u Y S v d l 0 E I d 9 4 E Y U r r M b g k h D d 3 4 v 9 K m h H B y 1 s 0 8 4 y p j S Z X u u s 5 6 h z c p R I b k o A j H 8 1 g C W Z 8 T d X 0 K Z t I t V i b l 7 Z F C q F + e U p h G U q L J C n x P 8 Z B J O f O S i m G n V K x J l o r w K 6 k s K 3 / B p E / M M l N a m 9 S Q q s X d g k i 9 3 c Q U v D 7 l / A C F U c 6 X + X j 7 P l K q m p 3 g I 4 u d e 0 f l e v Q U k 3 D N Z h V 4 k y C L S e T m Y y x O C t V L T k k 2 Y Q g i x j J v T 4 z Z O d w R U s Z 3 3 C S i R z d v T I 5 4 V y + F Y p B K w J h v Q W M s F r H J S x U E A X j I 7 T C m g h c M L f H 0 J J t S 6 h G U b x e U N J S J R w S g e C r x O t 6 Q V Y y 9 n H z 2 N i k t I W y p q m 5 p c 6 j M G s 6 P q K w N I y 4 p e k v 0 l q O m 0 6 t J J c C k p 5 Z 3 Z 5 8 G m X b o p Z j K l 9 O 0 P + w 7 u V j 5 F x 5 h q X + l e I 3 d X Q N p G Z b h 5 U 8 o b 4 V N a Z e N u o C K 6 g 8 y L k I j + X C w U W y 3 H N I i R Q u 2 E o 9 l j W X x n v g U 7 M d o E E z f v + 0 m P E D u O R S L n Y M 9 n p X + K a E J n G E w + A H s I 3 w i p I V D C q A q u / n w L p i Y c m X t Q F c C N Z m v S B 0 o C 4 S e f Z i L + 7 5 O T g d j H v e v 5 D l o z a c H Y K h f z H q 9 5 / V Y X X y x y p o z g p 4 L C G 3 8 A r O g E 1 P V p H h E U 3 S v r A E C R 0 j i N o 9 w 7 3 x t 4 T A Y i / y h 3 e G P k 4 b Y U e 8 W L O S C P d E 9 Q o j J P A j N F z l R a N S d N h 1 Y 9 6 0 H p W X x Z Y n 0 r I D d e 2 + 1 o a 6 p Y n u 6 r 3 b X D s e Z r T 3 Y V o D Z E / T c n F T o l 2 9 / y F S p i S m P o m a 3 0 R m p B 1 q H j E 5 l x W 3 s 8 f L 0 u l 4 4 p 7 z r R a j A H D i x 4 2 j G q L Z a s 5 H o 3 L 0 i o 3 Q V H d t p D m G a 5 t n x S d Q d n V N 5 W 3 K 5 D V 3 E r 3 Q G d J 0 y 7 j O S u n k T X b W + W R 4 P n l 9 n k 1 7 W e p 6 t q e a f P 6 B 4 g S j h 4 s Y 9 d D t Z k 1 8 7 C M 9 Q i F G k w 2 k D 8 V o d T F 8 + X L F e d O h 3 b m 2 s + E n u F F o a V h L R v E P v A j C A M 5 g c 3 u R E P o d L + H n L E n 2 t y J / A F B L A Q I t A B Q A A g A I A M p w u F J m D N B V o w A A A P U A A A A S A A A A A A A A A A A A A A A A A A A A A A B D b 2 5 m a W c v U G F j a 2 F n Z S 5 4 b W x Q S w E C L Q A U A A I A C A D K c L h S D 8 r p q 6 Q A A A D p A A A A E w A A A A A A A A A A A A A A A A D v A A A A W 0 N v b n R l b n R f V H l w Z X N d L n h t b F B L A Q I t A B Q A A g A I A M p w u F L o B + h H 8 w M A A A I P A A A T A A A A A A A A A A A A A A A A A O A B A A B G b 3 J t d W x h c y 9 T Z W N 0 a W 9 u M S 5 t U E s F B g A A A A A D A A M A w g A A A C A G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k Y 7 A A A A A A A A J D s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0 x J T U l U R V M 8 L 0 l 0 Z W 1 Q Y X R o P j w v S X R l b U x v Y 2 F 0 a W 9 u P j x T d G F i b G V F b n R y a W V z P j x F b n R y e S B U e X B l P S J J c 1 B y a X Z h d G U i I F Z h b H V l P S J s M C I g L z 4 8 R W 5 0 c n k g V H l w Z T 0 i T m F 2 a W d h d G l v b l N 0 Z X B O Y W 1 l I i B W Y W x 1 Z T 0 i c 0 5 h d m V n Y W N p w 7 N u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G a W x s Z W R D b 2 1 w b G V 0 Z V J l c 3 V s d F R v V 2 9 y a 3 N o Z W V 0 I i B W Y W x 1 Z T 0 i b D E i I C 8 + P E V u d H J 5 I F R 5 c G U 9 I l F 1 Z X J 5 S U Q i I F Z h b H V l P S J z Y j g z M D J l N T A t N W Y 4 M S 0 0 M m F m L T h l Z D M t N j E x Y z c 4 Z W Q 0 Y W R h I i A v P j x F b n R y e S B U e X B l P S J G a W x s T G F z d F V w Z G F 0 Z W Q i I F Z h b H V l P S J k M j A y M S 0 w N S 0 y M 1 Q w M D o 0 N D o 0 M S 4 y O D M 4 M D c 1 W i I g L z 4 8 R W 5 0 c n k g V H l w Z T 0 i R m l s b E V y c m 9 y Q 2 9 k Z S I g V m F s d W U 9 I n N V b m t u b 3 d u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M S U 1 J V E V T L 1 R p c G 8 g Y 2 F t Y m l h Z G 8 u e 0 1 B V F J J W i w w f S Z x d W 9 0 O y w m c X V v d D t T Z W N 0 a W 9 u M S 9 M S U 1 J V E V T L 1 R p c G 8 g Y 2 F t Y m l h Z G 8 u e 0 x J T U l U R S B E R S B B T E V S V E E s M X 0 m c X V v d D s s J n F 1 b 3 Q 7 U 2 V j d G l v b j E v T E l N S V R F U y 9 U a X B v I G N h b W J p Y W R v L n t M S U 1 J V E U g R E U g Q 0 9 O V F J P T C w y f S Z x d W 9 0 O 1 0 s J n F 1 b 3 Q 7 Q 2 9 s d W 1 u Q 2 9 1 b n Q m c X V v d D s 6 M y w m c X V v d D t L Z X l D b 2 x 1 b W 5 O Y W 1 l c y Z x d W 9 0 O z p b X S w m c X V v d D t D b 2 x 1 b W 5 J Z G V u d G l 0 a W V z J n F 1 b 3 Q 7 O l s m c X V v d D t T Z W N 0 a W 9 u M S 9 M S U 1 J V E V T L 1 R p c G 8 g Y 2 F t Y m l h Z G 8 u e 0 1 B V F J J W i w w f S Z x d W 9 0 O y w m c X V v d D t T Z W N 0 a W 9 u M S 9 M S U 1 J V E V T L 1 R p c G 8 g Y 2 F t Y m l h Z G 8 u e 0 x J T U l U R S B E R S B B T E V S V E E s M X 0 m c X V v d D s s J n F 1 b 3 Q 7 U 2 V j d G l v b j E v T E l N S V R F U y 9 U a X B v I G N h b W J p Y W R v L n t M S U 1 J V E U g R E U g Q 0 9 O V F J P T C w y f S Z x d W 9 0 O 1 0 s J n F 1 b 3 Q 7 U m V s Y X R p b 2 5 z a G l w S W 5 m b y Z x d W 9 0 O z p b X X 0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M S U 1 J V E V T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x J T U l U R V M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E l N S V R F U y 9 D b 2 x 1 b W 5 h c y U y M H F 1 a X R h Z G F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F V Q T E l D Q U R P U z w v S X R l b V B h d G g + P C 9 J d G V t T G 9 j Y X R p b 2 4 + P F N 0 Y W J s Z U V u d H J p Z X M + P E V u d H J 5 I F R 5 c G U 9 I k l z U H J p d m F 0 Z S I g V m F s d W U 9 I m w w I i A v P j x F b n R y e S B U e X B l P S J O Y X Z p Z 2 F 0 a W 9 u U 3 R l c E 5 h b W U i I F Z h b H V l P S J z T m F 2 Z W d h Y 2 n D s 2 4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J 1 Z m Z l c k 5 l e H R S Z W Z y Z X N o I i B W Y W x 1 Z T 0 i b D E i I C 8 + P E V u d H J 5 I F R 5 c G U 9 I k Z p b G x F b m F i b G V k I i B W Y W x 1 Z T 0 i b D A i I C 8 + P E V u d H J 5 I F R 5 c G U 9 I k Z p b G x M Y X N 0 V X B k Y X R l Z C I g V m F s d W U 9 I m Q y M D I x L T A 1 L T I 0 V D E 5 O j A z O j E y L j A 3 N j k 0 M z B a I i A v P j x F b n R y e S B U e X B l P S J G a W x s Z W R D b 2 1 w b G V 0 Z V J l c 3 V s d F R v V 2 9 y a 3 N o Z W V 0 I i B W Y W x 1 Z T 0 i b D A i I C 8 + P E V u d H J 5 I F R 5 c G U 9 I k Z p b G x U Y X J n Z X R O Y W 1 l Q 3 V z d G 9 t a X p l Z C I g V m F s d W U 9 I m w x I i A v P j x F b n R y e S B U e X B l P S J R d W V y e U l E I i B W Y W x 1 Z T 0 i c 2 Y 4 O T U 5 M G I z L T V m Y W I t N D k 4 O S 1 h Y z k w L W U 5 Y z k x M D B j Y j A 1 N S I g L z 4 8 R W 5 0 c n k g V H l w Z T 0 i Q W R k Z W R U b 0 R h d G F N b 2 R l b C I g V m F s d W U 9 I m w w I i A v P j x F b n R y e S B U e X B l P S J G a W x s R X J y b 3 J D b 2 R l I i B W Y W x 1 Z T 0 i c 1 V u a 2 5 v d 2 4 i I C 8 + P E V u d H J 5 I F R 5 c G U 9 I k Z p b G x U b 0 R h d G F N b 2 R l b E V u Y W J s Z W Q i I F Z h b H V l P S J s M C I g L z 4 8 R W 5 0 c n k g V H l w Z T 0 i R m l s b E 9 i a m V j d F R 5 c G U i I F Z h b H V l P S J z Q 2 9 u b m V j d G l v b k 9 u b H k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E V V B M S U N B R E 9 T L 1 R p c G 8 g Y 2 F t Y m l h Z G 8 u e 0 Z F Q 0 h B I E R F I E F O Q U x J U 0 l T L D B 9 J n F 1 b 3 Q 7 L C Z x d W 9 0 O 1 N l Y 3 R p b 2 4 x L 0 R V U E x J Q 0 F E T 1 M v V G l w b y B j Y W 1 i a W F k b y 5 7 V E l Q T y B E R S B N V U V T V F J B L D F 9 J n F 1 b 3 Q 7 L C Z x d W 9 0 O 1 N l Y 3 R p b 2 4 x L 0 R V U E x J Q 0 F E T 1 M v V G l w b y B j Y W 1 i a W F k b y 5 7 S U Q g T V V F U 1 R S Q S w y f S Z x d W 9 0 O y w m c X V v d D t T Z W N 0 a W 9 u M S 9 E V V B M S U N B R E 9 T L 1 R p c G 8 g Y 2 F t Y m l h Z G 8 u e 0 1 B V F J J W i w z f S Z x d W 9 0 O y w m c X V v d D t T Z W N 0 a W 9 u M S 9 E V V B M S U N B R E 9 T L 0 9 y a W d l b i 5 7 S H V t Z W R h Z C U s M T B 9 J n F 1 b 3 Q 7 L C Z x d W 9 0 O 1 N l Y 3 R p b 2 4 x L 0 R V U E x J Q 0 F E T 1 M v V G l w b y B j Y W 1 i a W F k b y 5 7 U m V z d W x 0 Y W R v I C g l K S w x M X 0 m c X V v d D s s J n F 1 b 3 Q 7 U 2 V j d G l v b j E v R F V Q T E l D Q U R P U y 9 U a X B v I G N h b W J p Y W R v L n t B T k F M S V N U Q S w x M n 0 m c X V v d D s s J n F 1 b 3 Q 7 U 2 V j d G l v b j E v R F V Q T E l D Q U R P U y 9 U a X B v I G N h b W J p Y W R v L n t F U 1 R B R E 8 g R E V M I F J F U 1 V M V E F E T y w x M 3 0 m c X V v d D s s J n F 1 b 3 Q 7 U 2 V j d G l v b j E v R F V Q T E l D Q U R P U y 9 P c m l n Z W 4 u e 1 J F V k l T w 5 M s M T R 9 J n F 1 b 3 Q 7 L C Z x d W 9 0 O 1 N l Y 3 R p b 2 4 x L 0 R V U E x J Q 0 F E T 1 M v T 3 J p Z 2 V u L n t P Q l N F U l Z B Q 0 l P T k V T L D E 1 f S Z x d W 9 0 O y w m c X V v d D t T Z W N 0 a W 9 u M S 9 E V V B M S U N B R E 9 T L 0 9 y a W d l b i 5 7 V F J B W k F C S U x J R E F E L D E 2 f S Z x d W 9 0 O 1 0 s J n F 1 b 3 Q 7 Q 2 9 s d W 1 u Q 2 9 1 b n Q m c X V v d D s 6 M T E s J n F 1 b 3 Q 7 S 2 V 5 Q 2 9 s d W 1 u T m F t Z X M m c X V v d D s 6 W 1 0 s J n F 1 b 3 Q 7 Q 2 9 s d W 1 u S W R l b n R p d G l l c y Z x d W 9 0 O z p b J n F 1 b 3 Q 7 U 2 V j d G l v b j E v R F V Q T E l D Q U R P U y 9 U a X B v I G N h b W J p Y W R v L n t G R U N I Q S B E R S B B T k F M S V N J U y w w f S Z x d W 9 0 O y w m c X V v d D t T Z W N 0 a W 9 u M S 9 E V V B M S U N B R E 9 T L 1 R p c G 8 g Y 2 F t Y m l h Z G 8 u e 1 R J U E 8 g R E U g T V V F U 1 R S Q S w x f S Z x d W 9 0 O y w m c X V v d D t T Z W N 0 a W 9 u M S 9 E V V B M S U N B R E 9 T L 1 R p c G 8 g Y 2 F t Y m l h Z G 8 u e 0 l E I E 1 V R V N U U k E s M n 0 m c X V v d D s s J n F 1 b 3 Q 7 U 2 V j d G l v b j E v R F V Q T E l D Q U R P U y 9 U a X B v I G N h b W J p Y W R v L n t N Q V R S S V o s M 3 0 m c X V v d D s s J n F 1 b 3 Q 7 U 2 V j d G l v b j E v R F V Q T E l D Q U R P U y 9 P c m l n Z W 4 u e 0 h 1 b W V k Y W Q l L D E w f S Z x d W 9 0 O y w m c X V v d D t T Z W N 0 a W 9 u M S 9 E V V B M S U N B R E 9 T L 1 R p c G 8 g Y 2 F t Y m l h Z G 8 u e 1 J l c 3 V s d G F k b y A o J S k s M T F 9 J n F 1 b 3 Q 7 L C Z x d W 9 0 O 1 N l Y 3 R p b 2 4 x L 0 R V U E x J Q 0 F E T 1 M v V G l w b y B j Y W 1 i a W F k b y 5 7 Q U 5 B T E l T V E E s M T J 9 J n F 1 b 3 Q 7 L C Z x d W 9 0 O 1 N l Y 3 R p b 2 4 x L 0 R V U E x J Q 0 F E T 1 M v V G l w b y B j Y W 1 i a W F k b y 5 7 R V N U Q U R P I E R F T C B S R V N V T F R B R E 8 s M T N 9 J n F 1 b 3 Q 7 L C Z x d W 9 0 O 1 N l Y 3 R p b 2 4 x L 0 R V U E x J Q 0 F E T 1 M v T 3 J p Z 2 V u L n t S R V Z J U 8 O T L D E 0 f S Z x d W 9 0 O y w m c X V v d D t T Z W N 0 a W 9 u M S 9 E V V B M S U N B R E 9 T L 0 9 y a W d l b i 5 7 T 0 J T R V J W Q U N J T 0 5 F U y w x N X 0 m c X V v d D s s J n F 1 b 3 Q 7 U 2 V j d G l v b j E v R F V Q T E l D Q U R P U y 9 P c m l n Z W 4 u e 1 R S Q V p B Q k l M S U R B R C w x N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R V U E x J Q 0 F E T 1 M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F V Q T E l D Q U R E T 1 N f T E l N S V R F U z w v S X R l b V B h d G g + P C 9 J d G V t T G 9 j Y X R p b 2 4 + P F N 0 Y W J s Z U V u d H J p Z X M + P E V u d H J 5 I F R 5 c G U 9 I k l z U H J p d m F 0 Z S I g V m F s d W U 9 I m w w I i A v P j x F b n R y e S B U e X B l P S J C d W Z m Z X J O Z X h 0 U m V m c m V z a C I g V m F s d W U 9 I m w x I i A v P j x F b n R y e S B U e X B l P S J O Y X Z p Z 2 F 0 a W 9 u U 3 R l c E 5 h b W U i I F Z h b H V l P S J z T m F 2 Z W d h Y 2 n D s 2 4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Z p b G x l Z E N v b X B s Z X R l U m V z d W x 0 V G 9 X b 3 J r c 2 h l Z X Q i I F Z h b H V l P S J s M S I g L z 4 8 R W 5 0 c n k g V H l w Z T 0 i U X V l c n l J R C I g V m F s d W U 9 I n M 0 N D g 1 Z G F k Y S 1 j Y z M y L T R l O W E t O D k w O S 0 1 O T I 5 N D c z M z k 3 M j Q i I C 8 + P E V u d H J 5 I F R 5 c G U 9 I k Z p b G x M Y X N 0 V X B k Y X R l Z C I g V m F s d W U 9 I m Q y M D I x L T A 1 L T I z V D A w O j Q 0 O j Q x L j M 1 M T E 2 N T R a I i A v P j x F b n R y e S B U e X B l P S J G a W x s R X J y b 3 J D b 2 R l I i B W Y W x 1 Z T 0 i c 1 V u a 2 5 v d 2 4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k s J n F 1 b 3 Q 7 a 2 V 5 Q 2 9 s d W 1 u T m F t Z X M m c X V v d D s 6 W 1 0 s J n F 1 b 3 Q 7 c X V l c n l S Z W x h d G l v b n N o a X B z J n F 1 b 3 Q 7 O l t 7 J n F 1 b 3 Q 7 a 2 V 5 Q 2 9 s d W 1 u Q 2 9 1 b n Q m c X V v d D s 6 M S w m c X V v d D t r Z X l D b 2 x 1 b W 4 m c X V v d D s 6 M C w m c X V v d D t v d G h l c k t l e U N v b H V t b k l k Z W 5 0 a X R 5 J n F 1 b 3 Q 7 O i Z x d W 9 0 O 1 N l Y 3 R p b 2 4 x L 0 R V U E x J Q 0 F E T 1 M v V G l w b y B j Y W 1 i a W F k b y 5 7 T U F U U k l a L D N 9 J n F 1 b 3 Q 7 L C Z x d W 9 0 O 0 t l e U N v b H V t b k N v d W 5 0 J n F 1 b 3 Q 7 O j F 9 X S w m c X V v d D t j b 2 x 1 b W 5 J Z G V u d G l 0 a W V z J n F 1 b 3 Q 7 O l s m c X V v d D t T Z W N 0 a W 9 u M S 9 M S U 1 J V E V T L 1 R p c G 8 g Y 2 F t Y m l h Z G 8 u e 0 1 B V F J J W i w w f S Z x d W 9 0 O y w m c X V v d D t T Z W N 0 a W 9 u M S 9 M S U 1 J V E V T L 1 R p c G 8 g Y 2 F t Y m l h Z G 8 u e 0 x J T U l U R S B E R S B B T E V S V E E s M X 0 m c X V v d D s s J n F 1 b 3 Q 7 U 2 V j d G l v b j E v T E l N S V R F U y 9 U a X B v I G N h b W J p Y W R v L n t M S U 1 J V E U g R E U g Q 0 9 O V F J P T C w y f S Z x d W 9 0 O y w m c X V v d D t T Z W N 0 a W 9 u M S 9 E V V B M S U N B R E 9 T L 1 R p c G 8 g Y 2 F t Y m l h Z G 8 u e 0 Z F Q 0 h B I E R F I E F O Q U x J U 0 l T L D B 9 J n F 1 b 3 Q 7 L C Z x d W 9 0 O 1 N l Y 3 R p b 2 4 x L 0 R V U E x J Q 0 F E T 1 M v V G l w b y B j Y W 1 i a W F k b y 5 7 V E l Q T y B E R S B N V U V T V F J B L D F 9 J n F 1 b 3 Q 7 L C Z x d W 9 0 O 1 N l Y 3 R p b 2 4 x L 0 R V U E x J Q 0 F E T 1 M v V G l w b y B j Y W 1 i a W F k b y 5 7 S U Q g T V V F U 1 R S Q S w y f S Z x d W 9 0 O y w m c X V v d D t T Z W N 0 a W 9 u M S 9 E V V B M S U N B R E 9 T L 1 R p c G 8 g Y 2 F t Y m l h Z G 8 u e 1 J l c 3 V s d G F k b y A o J S k s M T F 9 J n F 1 b 3 Q 7 L C Z x d W 9 0 O 1 N l Y 3 R p b 2 4 x L 0 R V U E x J Q 0 F E T 1 M v V G l w b y B j Y W 1 i a W F k b y 5 7 Q U 5 B T E l T V E E s M T J 9 J n F 1 b 3 Q 7 L C Z x d W 9 0 O 1 N l Y 3 R p b 2 4 x L 0 R V U E x J Q 0 F E T 1 M v V G l w b y B j Y W 1 i a W F k b y 5 7 R V N U Q U R P I E R F T C B S R V N V T F R B R E 8 s M T N 9 J n F 1 b 3 Q 7 X S w m c X V v d D t D b 2 x 1 b W 5 D b 3 V u d C Z x d W 9 0 O z o 5 L C Z x d W 9 0 O 0 t l e U N v b H V t b k 5 h b W V z J n F 1 b 3 Q 7 O l t d L C Z x d W 9 0 O 0 N v b H V t b k l k Z W 5 0 a X R p Z X M m c X V v d D s 6 W y Z x d W 9 0 O 1 N l Y 3 R p b 2 4 x L 0 x J T U l U R V M v V G l w b y B j Y W 1 i a W F k b y 5 7 T U F U U k l a L D B 9 J n F 1 b 3 Q 7 L C Z x d W 9 0 O 1 N l Y 3 R p b 2 4 x L 0 x J T U l U R V M v V G l w b y B j Y W 1 i a W F k b y 5 7 T E l N S V R F I E R F I E F M R V J U Q S w x f S Z x d W 9 0 O y w m c X V v d D t T Z W N 0 a W 9 u M S 9 M S U 1 J V E V T L 1 R p c G 8 g Y 2 F t Y m l h Z G 8 u e 0 x J T U l U R S B E R S B D T 0 5 U U k 9 M L D J 9 J n F 1 b 3 Q 7 L C Z x d W 9 0 O 1 N l Y 3 R p b 2 4 x L 0 R V U E x J Q 0 F E T 1 M v V G l w b y B j Y W 1 i a W F k b y 5 7 R k V D S E E g R E U g Q U 5 B T E l T S V M s M H 0 m c X V v d D s s J n F 1 b 3 Q 7 U 2 V j d G l v b j E v R F V Q T E l D Q U R P U y 9 U a X B v I G N h b W J p Y W R v L n t U S V B P I E R F I E 1 V R V N U U k E s M X 0 m c X V v d D s s J n F 1 b 3 Q 7 U 2 V j d G l v b j E v R F V Q T E l D Q U R P U y 9 U a X B v I G N h b W J p Y W R v L n t J R C B N V U V T V F J B L D J 9 J n F 1 b 3 Q 7 L C Z x d W 9 0 O 1 N l Y 3 R p b 2 4 x L 0 R V U E x J Q 0 F E T 1 M v V G l w b y B j Y W 1 i a W F k b y 5 7 U m V z d W x 0 Y W R v I C g l K S w x M X 0 m c X V v d D s s J n F 1 b 3 Q 7 U 2 V j d G l v b j E v R F V Q T E l D Q U R P U y 9 U a X B v I G N h b W J p Y W R v L n t B T k F M S V N U Q S w x M n 0 m c X V v d D s s J n F 1 b 3 Q 7 U 2 V j d G l v b j E v R F V Q T E l D Q U R P U y 9 U a X B v I G N h b W J p Y W R v L n t F U 1 R B R E 8 g R E V M I F J F U 1 V M V E F E T y w x M 3 0 m c X V v d D t d L C Z x d W 9 0 O 1 J l b G F 0 a W 9 u c 2 h p c E l u Z m 8 m c X V v d D s 6 W 3 s m c X V v d D t r Z X l D b 2 x 1 b W 5 D b 3 V u d C Z x d W 9 0 O z o x L C Z x d W 9 0 O 2 t l e U N v b H V t b i Z x d W 9 0 O z o w L C Z x d W 9 0 O 2 9 0 a G V y S 2 V 5 Q 2 9 s d W 1 u S W R l b n R p d H k m c X V v d D s 6 J n F 1 b 3 Q 7 U 2 V j d G l v b j E v R F V Q T E l D Q U R P U y 9 U a X B v I G N h b W J p Y W R v L n t N Q V R S S V o s M 3 0 m c X V v d D s s J n F 1 b 3 Q 7 S 2 V 5 Q 2 9 s d W 1 u Q 2 9 1 b n Q m c X V v d D s 6 M X 1 d f S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0 R V U E x J Q 0 F E R E 9 T X 0 x J T U l U R V M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F V Q T E l D Q U R E T 1 N f T E l N S V R F U y 9 T Z S U y M G V 4 c G F u Z G k l Q z M l Q j M l M j B E V V B M S U N B R E 9 T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F V Q T E l D Q U R E T 1 N f T E l N S V R F U y 9 D b 2 x 1 b W 5 h c y U y M G N v b i U y M G 5 v b W J y Z S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F V Q T E l D Q U R E T 1 N f T E l N S V R F U y 9 D b 2 x 1 b W 5 h c y U y M H F 1 a X R h Z G F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V V F U 1 R S Q V M 8 L 0 l 0 Z W 1 Q Y X R o P j w v S X R l b U x v Y 2 F 0 a W 9 u P j x T d G F i b G V F b n R y a W V z P j x F b n R y e S B U e X B l P S J J c 1 B y a X Z h d G U i I F Z h b H V l P S J s M C I g L z 4 8 R W 5 0 c n k g V H l w Z T 0 i T m F 2 a W d h d G l v b l N 0 Z X B O Y W 1 l I i B W Y W x 1 Z T 0 i c 0 5 h d m V n Y W N p w 7 N u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G a W x s Z W R D b 2 1 w b G V 0 Z V J l c 3 V s d F R v V 2 9 y a 3 N o Z W V 0 I i B W Y W x 1 Z T 0 i b D A i I C 8 + P E V u d H J 5 I F R 5 c G U 9 I l F 1 Z X J 5 S U Q i I F Z h b H V l P S J z O D k y N j E z Z m Y t N 2 R l M C 0 0 N z V i L W J m Z j A t M W E 5 Z W V i Z j Y y Y W U 4 I i A v P j x F b n R y e S B U e X B l P S J G a W x s R X J y b 3 J D b 2 R l I i B W Y W x 1 Z T 0 i c 1 V u a 2 5 v d 2 4 i I C 8 + P E V u d H J 5 I F R 5 c G U 9 I k F k Z G V k V G 9 E Y X R h T W 9 k Z W w i I F Z h b H V l P S J s M C I g L z 4 8 R W 5 0 c n k g V H l w Z T 0 i R m l s b E x h c 3 R V c G R h d G V k I i B W Y W x 1 Z T 0 i Z D I w M j E t M D U t M j R U M T k 6 M D M 6 M z M u O T Y 5 N j c 4 M 1 o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N V U V T V F J B U y 9 U a X B v I G N h b W J p Y W R v L n t G R U N I Q S B E R S B B T k F M S V N J U y w w f S Z x d W 9 0 O y w m c X V v d D t T Z W N 0 a W 9 u M S 9 N V U V T V F J B U y 9 U a X B v I G N h b W J p Y W R v L n t U S V B P I E R F I E 1 V R V N U U k E s M X 0 m c X V v d D s s J n F 1 b 3 Q 7 U 2 V j d G l v b j E v T V V F U 1 R S Q V M v V G l w b y B j Y W 1 i a W F k b y 5 7 S U Q g T V V F U 1 R S Q S w y f S Z x d W 9 0 O y w m c X V v d D t T Z W N 0 a W 9 u M S 9 N V U V T V F J B U y 9 P c m l n Z W 4 u e 0 h 1 b W V k Y W Q l L D E w f S Z x d W 9 0 O y w m c X V v d D t T Z W N 0 a W 9 u M S 9 N V U V T V F J B U y 9 U a X B v I G N h b W J p Y W R v L n t S Z X N 1 b H R h Z G 8 g K C U p L D E x f S Z x d W 9 0 O y w m c X V v d D t T Z W N 0 a W 9 u M S 9 N V U V T V F J B U y 9 U a X B v I G N h b W J p Y W R v L n t B T k F M S V N U Q S w x M n 0 m c X V v d D s s J n F 1 b 3 Q 7 U 2 V j d G l v b j E v T V V F U 1 R S Q V M v V G l w b y B j Y W 1 i a W F k b y 5 7 R V N U Q U R P I E R F T C B S R V N V T F R B R E 8 s M T N 9 J n F 1 b 3 Q 7 L C Z x d W 9 0 O 1 N l Y 3 R p b 2 4 x L 0 1 V R V N U U k F T L 0 9 y a W d l b i 5 7 U k V W S V P D k y w x N H 0 m c X V v d D s s J n F 1 b 3 Q 7 U 2 V j d G l v b j E v T V V F U 1 R S Q V M v T 3 J p Z 2 V u L n t P Q l N F U l Z B Q 0 l P T k V T L D E 1 f S Z x d W 9 0 O y w m c X V v d D t T Z W N 0 a W 9 u M S 9 N V U V T V F J B U y 9 P c m l n Z W 4 u e 1 R S Q V p B Q k l M S U R B R C w x N n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0 1 V R V N U U k F T L 1 R p c G 8 g Y 2 F t Y m l h Z G 8 u e 0 Z F Q 0 h B I E R F I E F O Q U x J U 0 l T L D B 9 J n F 1 b 3 Q 7 L C Z x d W 9 0 O 1 N l Y 3 R p b 2 4 x L 0 1 V R V N U U k F T L 1 R p c G 8 g Y 2 F t Y m l h Z G 8 u e 1 R J U E 8 g R E U g T V V F U 1 R S Q S w x f S Z x d W 9 0 O y w m c X V v d D t T Z W N 0 a W 9 u M S 9 N V U V T V F J B U y 9 U a X B v I G N h b W J p Y W R v L n t J R C B N V U V T V F J B L D J 9 J n F 1 b 3 Q 7 L C Z x d W 9 0 O 1 N l Y 3 R p b 2 4 x L 0 1 V R V N U U k F T L 0 9 y a W d l b i 5 7 S H V t Z W R h Z C U s M T B 9 J n F 1 b 3 Q 7 L C Z x d W 9 0 O 1 N l Y 3 R p b 2 4 x L 0 1 V R V N U U k F T L 1 R p c G 8 g Y 2 F t Y m l h Z G 8 u e 1 J l c 3 V s d G F k b y A o J S k s M T F 9 J n F 1 b 3 Q 7 L C Z x d W 9 0 O 1 N l Y 3 R p b 2 4 x L 0 1 V R V N U U k F T L 1 R p c G 8 g Y 2 F t Y m l h Z G 8 u e 0 F O Q U x J U 1 R B L D E y f S Z x d W 9 0 O y w m c X V v d D t T Z W N 0 a W 9 u M S 9 N V U V T V F J B U y 9 U a X B v I G N h b W J p Y W R v L n t F U 1 R B R E 8 g R E V M I F J F U 1 V M V E F E T y w x M 3 0 m c X V v d D s s J n F 1 b 3 Q 7 U 2 V j d G l v b j E v T V V F U 1 R S Q V M v T 3 J p Z 2 V u L n t S R V Z J U 8 O T L D E 0 f S Z x d W 9 0 O y w m c X V v d D t T Z W N 0 a W 9 u M S 9 N V U V T V F J B U y 9 P c m l n Z W 4 u e 0 9 C U 0 V S V k F D S U 9 O R V M s M T V 9 J n F 1 b 3 Q 7 L C Z x d W 9 0 O 1 N l Y 3 R p b 2 4 x L 0 1 V R V N U U k F T L 0 9 y a W d l b i 5 7 V F J B W k F C S U x J R E F E L D E 2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T V V F U 1 R S Q V M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F V Q T E l D Q U R P U y 9 G a W x h c y U y M G Z p b H R y Y W R h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V R V N U U k F T L 0 Z p b G F z J T I w Z m l s d H J h Z G F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F J F Q 0 l T S U 9 O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5 h d m l n Y X R p b 2 5 T d G V w T m F t Z S I g V m F s d W U 9 I n N O Y X Z l Z 2 F j a c O z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F R h c m d l d C I g V m F s d W U 9 I n N Q U k V D S V N J T 0 4 i I C 8 + P E V u d H J 5 I F R 5 c G U 9 I k Z p b G x l Z E N v b X B s Z X R l U m V z d W x 0 V G 9 X b 3 J r c 2 h l Z X Q i I F Z h b H V l P S J s M S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3 s m c X V v d D t r Z X l D b 2 x 1 b W 5 D b 3 V u d C Z x d W 9 0 O z o x L C Z x d W 9 0 O 2 t l e U N v b H V t b i Z x d W 9 0 O z o y L C Z x d W 9 0 O 2 9 0 a G V y S 2 V 5 Q 2 9 s d W 1 u S W R l b n R p d H k m c X V v d D s 6 J n F 1 b 3 Q 7 U 2 V j d G l v b j E v T E l N S V R F U y 9 U a X B v I G N h b W J p Y W R v L n t N Q V R S S V o s M H 0 m c X V v d D s s J n F 1 b 3 Q 7 S 2 V 5 Q 2 9 s d W 1 u Q 2 9 1 b n Q m c X V v d D s 6 M X 1 d L C Z x d W 9 0 O 2 N v b H V t b k l k Z W 5 0 a X R p Z X M m c X V v d D s 6 W y Z x d W 9 0 O 1 N l Y 3 R p b 2 4 x L 1 B S R U N J U 0 l P T i 9 U a X B v I G N h b W J p Y W R v M S 5 7 R k V D S E E s M H 0 m c X V v d D s s J n F 1 b 3 Q 7 U 2 V j d G l v b j E v R F V Q T E l D Q U R P U y 9 P c m l n Z W 4 u e 0 l E I E 1 V R V N U U k E s M n 0 m c X V v d D s s J n F 1 b 3 Q 7 U 2 V j d G l v b j E v R F V Q T E l D Q U R P U y 9 P c m l n Z W 4 u e 0 1 B V F J J W i w x f S Z x d W 9 0 O y w m c X V v d D t T Z W N 0 a W 9 u M S 9 Q U k V D S V N J T 0 4 v V G l w b y B j Y W 1 i a W F k b y 5 7 U l B E J S w x O X 0 m c X V v d D s s J n F 1 b 3 Q 7 U 2 V j d G l v b j E v U F J F Q 0 l T S U 9 O L 1 R p c G 8 g Y 2 F t Y m l h Z G 8 y L n t M S U 1 J V E U g R E U g Q U x F U l R B L D E 4 f S Z x d W 9 0 O y w m c X V v d D t T Z W N 0 a W 9 u M S 9 Q U k V D S V N J T 0 4 v V G l w b y B j Y W 1 i a W F k b z I u e 0 x J T U l U R S B E R S B D T 0 5 U U k 9 M L D E 5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Q U k V D S V N J T 0 4 v V G l w b y B j Y W 1 i a W F k b z E u e 0 Z F Q 0 h B L D B 9 J n F 1 b 3 Q 7 L C Z x d W 9 0 O 1 N l Y 3 R p b 2 4 x L 0 R V U E x J Q 0 F E T 1 M v T 3 J p Z 2 V u L n t J R C B N V U V T V F J B L D J 9 J n F 1 b 3 Q 7 L C Z x d W 9 0 O 1 N l Y 3 R p b 2 4 x L 0 R V U E x J Q 0 F E T 1 M v T 3 J p Z 2 V u L n t N Q V R S S V o s M X 0 m c X V v d D s s J n F 1 b 3 Q 7 U 2 V j d G l v b j E v U F J F Q 0 l T S U 9 O L 1 R p c G 8 g Y 2 F t Y m l h Z G 8 u e 1 J Q R C U s M T l 9 J n F 1 b 3 Q 7 L C Z x d W 9 0 O 1 N l Y 3 R p b 2 4 x L 1 B S R U N J U 0 l P T i 9 U a X B v I G N h b W J p Y W R v M i 5 7 T E l N S V R F I E R F I E F M R V J U Q S w x O H 0 m c X V v d D s s J n F 1 b 3 Q 7 U 2 V j d G l v b j E v U F J F Q 0 l T S U 9 O L 1 R p c G 8 g Y 2 F t Y m l h Z G 8 y L n t M S U 1 J V E U g R E U g Q 0 9 O V F J P T C w x O X 0 m c X V v d D t d L C Z x d W 9 0 O 1 J l b G F 0 a W 9 u c 2 h p c E l u Z m 8 m c X V v d D s 6 W 3 s m c X V v d D t r Z X l D b 2 x 1 b W 5 D b 3 V u d C Z x d W 9 0 O z o x L C Z x d W 9 0 O 2 t l e U N v b H V t b i Z x d W 9 0 O z o y L C Z x d W 9 0 O 2 9 0 a G V y S 2 V 5 Q 2 9 s d W 1 u S W R l b n R p d H k m c X V v d D s 6 J n F 1 b 3 Q 7 U 2 V j d G l v b j E v T E l N S V R F U y 9 U a X B v I G N h b W J p Y W R v L n t N Q V R S S V o s M H 0 m c X V v d D s s J n F 1 b 3 Q 7 S 2 V 5 Q 2 9 s d W 1 u Q 2 9 1 b n Q m c X V v d D s 6 M X 1 d f S I g L z 4 8 R W 5 0 c n k g V H l w Z T 0 i R m l s b F N 0 Y X R 1 c y I g V m F s d W U 9 I n N D b 2 1 w b G V 0 Z S I g L z 4 8 R W 5 0 c n k g V H l w Z T 0 i R m l s b E N v b H V t b k 5 h b W V z I i B W Y W x 1 Z T 0 i c 1 s m c X V v d D t G R U N I Q S Z x d W 9 0 O y w m c X V v d D t J R C B N V U V T V F J B J n F 1 b 3 Q 7 L C Z x d W 9 0 O 0 1 B V F J J W i Z x d W 9 0 O y w m c X V v d D t S U E Q l J n F 1 b 3 Q 7 L C Z x d W 9 0 O 0 x J T U l U R S B E R S B B T E V S V E E m c X V v d D s s J n F 1 b 3 Q 7 T E l N S V R F I E R F I E N P T l R S T 0 w m c X V v d D t d I i A v P j x F b n R y e S B U e X B l P S J G a W x s Q 2 9 s d W 1 u V H l w Z X M i I F Z h b H V l P S J z Q 1 F B Q U J B U U U i I C 8 + P E V u d H J 5 I F R 5 c G U 9 I k Z p b G x M Y X N 0 V X B k Y X R l Z C I g V m F s d W U 9 I m Q y M D I x L T A 1 L T I 0 V D E 5 O j A 2 O j I x L j E 1 O T M 5 N z N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3 V u d C I g V m F s d W U 9 I m w z M C I g L z 4 8 R W 5 0 c n k g V H l w Z T 0 i Q W R k Z W R U b 0 R h d G F N b 2 R l b C I g V m F s d W U 9 I m w w I i A v P j x F b n R y e S B U e X B l P S J R d W V y e U l E I i B W Y W x 1 Z T 0 i c z V i Z W E w N D Q x L T k y O W E t N G I 5 Y i 0 5 M j I x L T U 0 Z j M 1 M T E x Y T Q x Z i I g L z 4 8 L 1 N 0 Y W J s Z U V u d H J p Z X M + P C 9 J d G V t P j x J d G V t P j x J d G V t T G 9 j Y X R p b 2 4 + P E l 0 Z W 1 U e X B l P k Z v c m 1 1 b G E 8 L 0 l 0 Z W 1 U e X B l P j x J d G V t U G F 0 a D 5 T Z W N 0 a W 9 u M S 9 Q U k V D S V N J T 0 4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F J F Q 0 l T S U 9 O L 1 N l J T I w Z X h w Y W 5 k a S V D M y V C M y U y M E 1 V R V N U U k F T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F J F Q 0 l T S U 9 O L 1 B l c n N v b m F s a X p h Z G E l M j B h Z 3 J l Z 2 F k Y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S R U N J U 0 l P T i 9 U a X B v J T I w Y 2 F t Y m l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U k V D S V N J T 0 4 v Q 2 9 s d W 1 u Y X M l M j B x d W l 0 Y W R h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U k V D S V N J T 0 4 v V G l w b y U y M G N h b W J p Y W R v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S R U N J U 0 l P T i 9 D b 2 5 z d W x 0 Y X M l M j B j b 2 1 i a W 5 h Z G F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F J F Q 0 l T S U 9 O L 1 N l J T I w Z X h w Y W 5 k a S V D M y V C M y U y M E x J T U l U R V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U k V D S V N J T 0 4 v V G l w b y U y M G N h b W J p Y W R v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S R U N J U 0 l P T i 9 D b 2 x 1 b W 5 h c y U y M H J l b 3 J k Z W 5 h Z G F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F J F Q 0 l T S U 9 O L 0 N v b H V t b m F z J T I w c X V p d G F k Y X M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Q P z z 1 S S c k U K N Z 6 Q s W + Q u y g A A A A A C A A A A A A A D Z g A A w A A A A B A A A A A q d N y B v H M D A j M g 1 m u W m 5 H T A A A A A A S A A A C g A A A A E A A A A E c Q c 9 7 b 3 H 8 E m H / u / + / E 5 2 F Q A A A A i W T w v K 1 l F j x j h T L Z a Z N 5 A j D u N B Q H 9 u 5 I R v + s q H y G U V W l Q 5 l f U C X 0 s L I t C 3 C a C X W 6 8 O b f H r z P 4 X v t s 6 b D v j I l x v d I L H + r j t 1 Q R j C W C M 2 i q e o U A A A A V G T 4 o r b D b k i 3 V I G d + U 3 e 2 G M k B 3 Y = < / D a t a M a s h u p > 
</file>

<file path=customXml/itemProps1.xml><?xml version="1.0" encoding="utf-8"?>
<ds:datastoreItem xmlns:ds="http://schemas.openxmlformats.org/officeDocument/2006/customXml" ds:itemID="{25622BE7-CB35-44D1-8E8F-40B493D96A04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Hojas de cálculo</vt:lpstr>
      </vt:variant>
      <vt:variant>
        <vt:i4>13</vt:i4>
      </vt:variant>
      <vt:variant>
        <vt:lpstr>Gráficos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15" baseType="lpstr">
      <vt:lpstr>Hoja5</vt:lpstr>
      <vt:lpstr>Control</vt:lpstr>
      <vt:lpstr>SOFT-TC-075</vt:lpstr>
      <vt:lpstr>PRECISION</vt:lpstr>
      <vt:lpstr>AZÚCARES</vt:lpstr>
      <vt:lpstr>GRASA AOAC 920.39</vt:lpstr>
      <vt:lpstr>FIBRA DIETARIA KIT</vt:lpstr>
      <vt:lpstr>PROTEÍNA AOAC 2001.11</vt:lpstr>
      <vt:lpstr>Curva Fósforo</vt:lpstr>
      <vt:lpstr>FOSFORO AOAC 965.17</vt:lpstr>
      <vt:lpstr>Matrices</vt:lpstr>
      <vt:lpstr>LIMITES GRAFICO</vt:lpstr>
      <vt:lpstr>ANOTACIONES</vt:lpstr>
      <vt:lpstr>Gráfico Precision</vt:lpstr>
      <vt:lpstr>MATRICES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Laboratorio</dc:creator>
  <cp:lastModifiedBy>Calidad</cp:lastModifiedBy>
  <cp:lastPrinted>2021-05-22T23:53:00Z</cp:lastPrinted>
  <dcterms:created xsi:type="dcterms:W3CDTF">2018-01-16T19:01:10Z</dcterms:created>
  <dcterms:modified xsi:type="dcterms:W3CDTF">2021-05-24T19:37:32Z</dcterms:modified>
</cp:coreProperties>
</file>