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6170919A-7AE7-4223-8A6A-D98609868A1C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control" sheetId="43" r:id="rId1"/>
    <sheet name="Cuadro de mando" sheetId="1" r:id="rId2"/>
    <sheet name="Preparacion controles" sheetId="45" r:id="rId3"/>
    <sheet name="Límites Gráficos" sheetId="5" r:id="rId4"/>
    <sheet name="Tipos de Muestra" sheetId="38" state="hidden" r:id="rId5"/>
    <sheet name="Gráfico R%" sheetId="49" r:id="rId6"/>
    <sheet name="R%" sheetId="47" r:id="rId7"/>
    <sheet name="Precision" sheetId="40" r:id="rId8"/>
    <sheet name="Gráfico Precision" sheetId="42" r:id="rId9"/>
    <sheet name="Fuentes globales" sheetId="7" r:id="rId10"/>
  </sheets>
  <definedNames>
    <definedName name="_xlnm._FilterDatabase" localSheetId="1" hidden="1">'Cuadro de mando'!$A$19:$AT$21</definedName>
    <definedName name="DatosExternos_1" localSheetId="7" hidden="1">Precision!$A$6:$G$7</definedName>
    <definedName name="DatosExternos_1" localSheetId="6" hidden="1">'R%'!$A$6:$H$7</definedName>
    <definedName name="SUSTANCIA">Tabla4[]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I35" i="1"/>
  <c r="I36" i="1"/>
  <c r="I37" i="1"/>
  <c r="I38" i="1"/>
  <c r="I39" i="1"/>
  <c r="I40" i="1"/>
  <c r="I41" i="1"/>
  <c r="L35" i="1"/>
  <c r="L36" i="1"/>
  <c r="N36" i="1" s="1"/>
  <c r="L37" i="1"/>
  <c r="L38" i="1"/>
  <c r="L39" i="1"/>
  <c r="L40" i="1"/>
  <c r="L41" i="1"/>
  <c r="N35" i="1"/>
  <c r="G27" i="1"/>
  <c r="G28" i="1"/>
  <c r="G29" i="1"/>
  <c r="G30" i="1"/>
  <c r="G31" i="1"/>
  <c r="G32" i="1"/>
  <c r="G33" i="1"/>
  <c r="G34" i="1"/>
  <c r="I27" i="1"/>
  <c r="I28" i="1"/>
  <c r="I29" i="1"/>
  <c r="I30" i="1"/>
  <c r="I31" i="1"/>
  <c r="I32" i="1"/>
  <c r="I33" i="1"/>
  <c r="I34" i="1"/>
  <c r="L27" i="1"/>
  <c r="L28" i="1"/>
  <c r="L29" i="1"/>
  <c r="L30" i="1"/>
  <c r="L31" i="1"/>
  <c r="L32" i="1"/>
  <c r="L33" i="1"/>
  <c r="L34" i="1"/>
  <c r="N38" i="1" l="1"/>
  <c r="N41" i="1"/>
  <c r="N40" i="1"/>
  <c r="N30" i="1"/>
  <c r="N31" i="1"/>
  <c r="N39" i="1"/>
  <c r="N37" i="1"/>
  <c r="N34" i="1"/>
  <c r="N28" i="1"/>
  <c r="N33" i="1"/>
  <c r="N27" i="1"/>
  <c r="N32" i="1"/>
  <c r="N29" i="1"/>
  <c r="I9" i="45"/>
  <c r="I10" i="45"/>
  <c r="I11" i="45"/>
  <c r="I12" i="45"/>
  <c r="I13" i="45"/>
  <c r="H8" i="45"/>
  <c r="H9" i="45"/>
  <c r="H10" i="45"/>
  <c r="H11" i="45"/>
  <c r="H12" i="45"/>
  <c r="H13" i="45"/>
  <c r="G26" i="1"/>
  <c r="G25" i="1"/>
  <c r="G24" i="1"/>
  <c r="G23" i="1"/>
  <c r="L23" i="1"/>
  <c r="L24" i="1"/>
  <c r="L25" i="1"/>
  <c r="L26" i="1"/>
  <c r="J12" i="45" l="1"/>
  <c r="J9" i="45"/>
  <c r="J13" i="45"/>
  <c r="J11" i="45"/>
  <c r="J10" i="45"/>
  <c r="AD3" i="47" l="1"/>
  <c r="AD2" i="47"/>
  <c r="AD1" i="47"/>
  <c r="C1" i="47"/>
  <c r="F3" i="45"/>
  <c r="F2" i="45"/>
  <c r="F1" i="45"/>
  <c r="B1" i="45"/>
  <c r="C13" i="45"/>
  <c r="C12" i="45"/>
  <c r="C11" i="45"/>
  <c r="C10" i="45"/>
  <c r="C9" i="45"/>
  <c r="C8" i="45"/>
  <c r="B13" i="45"/>
  <c r="B12" i="45"/>
  <c r="B11" i="45"/>
  <c r="B10" i="45"/>
  <c r="B9" i="45"/>
  <c r="B8" i="45"/>
  <c r="L5" i="47" l="1"/>
  <c r="K5" i="47"/>
  <c r="A5" i="47" l="1"/>
  <c r="B9" i="43"/>
  <c r="A9" i="43"/>
  <c r="H15" i="43"/>
  <c r="H16" i="43"/>
  <c r="C26" i="43"/>
  <c r="A10" i="43" l="1"/>
  <c r="F5" i="7"/>
  <c r="K3" i="7"/>
  <c r="K2" i="7"/>
  <c r="K1" i="7"/>
  <c r="B1" i="7"/>
  <c r="P3" i="40"/>
  <c r="P2" i="40"/>
  <c r="P1" i="40"/>
  <c r="B1" i="40"/>
  <c r="F3" i="5"/>
  <c r="F2" i="5"/>
  <c r="F1" i="5"/>
  <c r="B1" i="5"/>
  <c r="Q3" i="1"/>
  <c r="Q2" i="1"/>
  <c r="Q1" i="1"/>
  <c r="C1" i="1"/>
  <c r="Q5" i="40" l="1"/>
  <c r="N5" i="40"/>
  <c r="A5" i="40" s="1"/>
  <c r="G9" i="1" l="1"/>
  <c r="G15" i="1"/>
  <c r="G14" i="1"/>
  <c r="I22" i="1" l="1"/>
  <c r="L22" i="1"/>
  <c r="G21" i="1"/>
  <c r="G22" i="1"/>
  <c r="L21" i="1"/>
  <c r="L20" i="1"/>
  <c r="G20" i="1"/>
  <c r="I20" i="1"/>
  <c r="I25" i="1"/>
  <c r="N25" i="1" s="1"/>
  <c r="I26" i="1"/>
  <c r="N26" i="1" s="1"/>
  <c r="I23" i="1"/>
  <c r="N23" i="1" s="1"/>
  <c r="I24" i="1"/>
  <c r="N24" i="1" s="1"/>
  <c r="I21" i="1"/>
  <c r="N22" i="1" l="1"/>
  <c r="I8" i="45" s="1"/>
  <c r="J8" i="45" s="1"/>
  <c r="N21" i="1"/>
  <c r="N20" i="1"/>
  <c r="C42" i="7" l="1"/>
  <c r="C41" i="7"/>
  <c r="G20" i="7" s="1"/>
  <c r="G21" i="7" s="1"/>
  <c r="G16" i="7"/>
  <c r="G17" i="7" s="1"/>
  <c r="K15" i="7" s="1"/>
  <c r="C43" i="7" l="1"/>
  <c r="K17" i="7" s="1"/>
  <c r="B9" i="1"/>
  <c r="G24" i="7" l="1"/>
  <c r="K16" i="7"/>
  <c r="K7" i="7"/>
  <c r="K11" i="7" s="1"/>
  <c r="N10" i="7" s="1"/>
  <c r="B15" i="1" l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C5" authorId="0" shapeId="0" xr:uid="{7E34F575-F890-4195-BF66-E83DB052A9BD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69EA702D-453D-4029-A13F-2858EC09596B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Digite las unidades en las cuales se reporta el resultado del ensayo</t>
        </r>
      </text>
    </comment>
    <comment ref="L5" authorId="0" shapeId="0" xr:uid="{5F51CFE3-F10A-4A67-84DD-7D5663F26984}">
      <text>
        <r>
          <rPr>
            <b/>
            <sz val="9"/>
            <color indexed="81"/>
            <rFont val="Tahoma"/>
            <family val="2"/>
          </rPr>
          <t>Registre el límite de reporte para el ensayo en las unidades establecidas en la celda B6</t>
        </r>
      </text>
    </comment>
    <comment ref="A19" authorId="0" shapeId="0" xr:uid="{559E1FF0-561E-4A2E-A3FF-9B8860EF845F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B19" authorId="0" shapeId="0" xr:uid="{1EF3132A-0516-434C-BF7F-B9F271BA862A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C19" authorId="0" shapeId="0" xr:uid="{334CBA3F-8806-43EB-A7F3-A66BD66BA292}">
      <text>
        <r>
          <rPr>
            <b/>
            <sz val="9"/>
            <color indexed="81"/>
            <rFont val="Tahoma"/>
            <family val="2"/>
          </rPr>
          <t>Seleccione al tipo de muestra de la casilla desplegable</t>
        </r>
      </text>
    </comment>
    <comment ref="D19" authorId="0" shapeId="0" xr:uid="{5DAD0180-F785-4E04-9C40-FF41FE231661}">
      <text>
        <r>
          <rPr>
            <b/>
            <sz val="9"/>
            <color indexed="81"/>
            <rFont val="Tahoma"/>
            <family val="2"/>
          </rPr>
          <t>Registre el volumen de la alícuota de muestra tomada para realizar el ensayo</t>
        </r>
      </text>
    </comment>
    <comment ref="E19" authorId="0" shapeId="0" xr:uid="{8A979EBB-6F9F-44B0-85AC-1D1653541242}">
      <text>
        <r>
          <rPr>
            <b/>
            <sz val="9"/>
            <color indexed="81"/>
            <rFont val="Tahoma"/>
            <family val="2"/>
          </rPr>
          <t>Ingrese el título del ácido utilizado para realizar el ensayo</t>
        </r>
      </text>
    </comment>
    <comment ref="F19" authorId="0" shapeId="0" xr:uid="{59587E14-E91A-4459-909E-299E1FD38BB1}">
      <text>
        <r>
          <rPr>
            <b/>
            <sz val="9"/>
            <color indexed="81"/>
            <rFont val="Tahoma"/>
            <family val="2"/>
          </rPr>
          <t>Ingrese el volumen que marca la bureta al inicar el ensayo</t>
        </r>
      </text>
    </comment>
    <comment ref="H19" authorId="0" shapeId="0" xr:uid="{841DD5AE-C90A-437D-8F24-59F797B6D21D}">
      <text>
        <r>
          <rPr>
            <b/>
            <sz val="9"/>
            <color indexed="81"/>
            <rFont val="Tahoma"/>
            <family val="2"/>
          </rPr>
          <t>Registre el volumen de ácido utilizado para llevar la muestra ap pH 4,5</t>
        </r>
      </text>
    </comment>
    <comment ref="J19" authorId="0" shapeId="0" xr:uid="{CA30681A-4DEE-4FFA-A3C5-2F09CCBBDE89}">
      <text>
        <r>
          <rPr>
            <b/>
            <sz val="9"/>
            <color indexed="81"/>
            <rFont val="Tahoma"/>
            <family val="2"/>
          </rPr>
          <t>Registre el pH exacto alcanzado</t>
        </r>
      </text>
    </comment>
    <comment ref="K19" authorId="0" shapeId="0" xr:uid="{68960744-6C6E-4634-AF9E-E43998FB61EA}">
      <text>
        <r>
          <rPr>
            <b/>
            <sz val="9"/>
            <color indexed="81"/>
            <rFont val="Tahoma"/>
            <family val="2"/>
          </rPr>
          <t>Registre el volumen de ácido utilizado para lograr un descenso de 0,3 unidades de pH</t>
        </r>
      </text>
    </comment>
    <comment ref="M19" authorId="0" shapeId="0" xr:uid="{7B814366-98E0-432F-8368-4083EA9FC95B}">
      <text>
        <r>
          <rPr>
            <b/>
            <sz val="9"/>
            <color indexed="81"/>
            <rFont val="Tahoma"/>
            <family val="2"/>
          </rPr>
          <t>Registre el pH exacto alcanzado</t>
        </r>
      </text>
    </comment>
    <comment ref="O19" authorId="0" shapeId="0" xr:uid="{D738DC2F-05AE-4BA9-ADA2-7920672CA0BE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P19" authorId="0" shapeId="0" xr:uid="{E6D4862B-4D4C-49F7-B8F4-ACBABBD22546}">
      <text>
        <r>
          <rPr>
            <b/>
            <sz val="9"/>
            <color indexed="81"/>
            <rFont val="Tahoma"/>
            <family val="2"/>
          </rPr>
          <t>Registre las iniciales de la persona que revisa el resultado</t>
        </r>
      </text>
    </comment>
    <comment ref="Q19" authorId="0" shapeId="0" xr:uid="{D6696578-8DC8-470D-8DB1-5A42428C4BE9}">
      <text>
        <r>
          <rPr>
            <b/>
            <sz val="9"/>
            <color indexed="81"/>
            <rFont val="Tahoma"/>
            <family val="2"/>
          </rPr>
          <t>Seleccione el estado del resultado de la casilla desplegable</t>
        </r>
      </text>
    </comment>
    <comment ref="R19" authorId="0" shapeId="0" xr:uid="{AB121A16-F216-4355-8348-90456EF8D2B0}">
      <text>
        <r>
          <rPr>
            <b/>
            <sz val="9"/>
            <color indexed="81"/>
            <rFont val="Tahoma"/>
            <family val="2"/>
          </rPr>
          <t>Registre las observaciones pertinentes a la muestra o ensayo</t>
        </r>
      </text>
    </comment>
    <comment ref="S19" authorId="0" shapeId="0" xr:uid="{F9E7EB85-16CB-45A3-A3E2-317F023C9785}">
      <text>
        <r>
          <rPr>
            <b/>
            <sz val="9"/>
            <color indexed="81"/>
            <rFont val="Tahoma"/>
            <family val="2"/>
          </rPr>
          <t>Registre la trazabilidad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7" authorId="0" shapeId="0" xr:uid="{E1AFFBE8-F8B3-4827-9C94-FA04C5D92961}">
      <text>
        <r>
          <rPr>
            <b/>
            <sz val="9"/>
            <color indexed="81"/>
            <rFont val="Tahoma"/>
            <family val="2"/>
          </rPr>
          <t>Ingrese el código asignado al control</t>
        </r>
      </text>
    </comment>
    <comment ref="C7" authorId="0" shapeId="0" xr:uid="{ECEEAD59-E419-4E2D-BDF9-9ACE77F4B8F9}">
      <text>
        <r>
          <rPr>
            <b/>
            <sz val="9"/>
            <color indexed="81"/>
            <rFont val="Tahoma"/>
            <family val="2"/>
          </rPr>
          <t>Ingrese el tipo de muestra</t>
        </r>
      </text>
    </comment>
    <comment ref="D7" authorId="0" shapeId="0" xr:uid="{7D21C88C-03E4-4FB7-B82E-5D75692862FF}">
      <text>
        <r>
          <rPr>
            <b/>
            <sz val="9"/>
            <color indexed="81"/>
            <rFont val="Tahoma"/>
            <family val="2"/>
          </rPr>
          <t>Registre la masa de carbonato de sodio empleada para la preparación del control</t>
        </r>
      </text>
    </comment>
    <comment ref="E7" authorId="0" shapeId="0" xr:uid="{35DAD65B-FF02-4AA1-A6F9-EDC462DF0839}">
      <text>
        <r>
          <rPr>
            <b/>
            <sz val="9"/>
            <color indexed="81"/>
            <rFont val="Tahoma"/>
            <family val="2"/>
          </rPr>
          <t>Ingrese la pureza certificada del carbonato de sodio</t>
        </r>
      </text>
    </comment>
    <comment ref="F7" authorId="0" shapeId="0" xr:uid="{0365012C-C38E-47F0-BE74-7B72C8153ABB}">
      <text>
        <r>
          <rPr>
            <b/>
            <sz val="9"/>
            <color indexed="81"/>
            <rFont val="Tahoma"/>
            <family val="2"/>
          </rPr>
          <t>Ingrese el volumen de aforo del patron</t>
        </r>
      </text>
    </comment>
    <comment ref="G7" authorId="0" shapeId="0" xr:uid="{DB443002-D063-448A-99C4-E4DEC98189B0}">
      <text>
        <r>
          <rPr>
            <b/>
            <sz val="9"/>
            <color indexed="81"/>
            <rFont val="Tahoma"/>
            <family val="2"/>
          </rPr>
          <t>Registre el factor de dilución del estandar</t>
        </r>
      </text>
    </comment>
    <comment ref="H7" authorId="0" shapeId="0" xr:uid="{EEB3C739-A39E-4E17-811B-358A66A17994}">
      <text>
        <r>
          <rPr>
            <b/>
            <sz val="9"/>
            <color indexed="81"/>
            <rFont val="Tahoma"/>
            <family val="2"/>
          </rPr>
          <t>Registre el valor teórico de nitrogeno contenido en la sustancia</t>
        </r>
      </text>
    </comment>
    <comment ref="K7" authorId="0" shapeId="0" xr:uid="{EA0B5150-7C41-4827-BB91-AECA5DE9ABF5}">
      <text>
        <r>
          <rPr>
            <b/>
            <sz val="9"/>
            <color indexed="81"/>
            <rFont val="Tahoma"/>
            <family val="2"/>
          </rPr>
          <t>Registre la trazabilidad del estandar al formato FOR-TC-045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6" authorId="0" shapeId="0" xr:uid="{D630B6BC-0E53-44DC-923B-B3B26493E22C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6" authorId="0" shapeId="0" xr:uid="{F208EB02-1F38-4CEE-A324-986402D95675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6" authorId="0" shapeId="0" xr:uid="{87D9F85C-66AA-415B-B16F-61DFF2B7F734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B8" authorId="0" shapeId="0" xr:uid="{B10CD45E-6B68-4A4F-B5E1-706DC7DF4C68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CED45B0A-890F-446D-AC08-BA9C905A319F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 xr:uid="{C17D3107-2B4F-4A5F-A418-C58E69EE2273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 xr:uid="{D8F2ED06-8454-491E-A563-6C43D312A042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844B76D2-7C78-411D-B506-4636A7F97A5C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6611F526-804E-49EB-B4BF-F6945F524DE3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2A603015-1B8E-4AF2-A29B-2DFAA6B2E2DD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7BCC5DB8-6E7F-4BE7-A751-C52168B4DD45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4E9834-C994-4813-A89C-71E51A58BE68}" keepAlive="1" name="Consulta - CUADRO MANDO" description="Conexión a la consulta 'CUADRO MANDO' en el libro." type="5" refreshedVersion="6" background="1">
    <dbPr connection="Provider=Microsoft.Mashup.OleDb.1;Data Source=$Workbook$;Location=&quot;CUADRO MANDO&quot;;Extended Properties=&quot;&quot;" command="SELECT * FROM [CUADRO MANDO]"/>
  </connection>
  <connection id="2" xr16:uid="{00000000-0015-0000-FFFF-FFFF03000000}" keepAlive="1" name="Consulta - DUPLICADOS" description="Conexión a la consulta 'DUPLICADOS' en el libro." type="5" refreshedVersion="6" background="1" refreshOnLoad="1" saveData="1">
    <dbPr connection="Provider=Microsoft.Mashup.OleDb.1;Data Source=$Workbook$;Location=DUPLICADOS;Extended Properties=&quot;&quot;" command="SELECT * FROM [DUPLICADOS]"/>
  </connection>
  <connection id="3" xr16:uid="{802331EB-0966-4F63-A38A-22E9FFAE638A}" keepAlive="1" name="Consulta - LIMITES PRECISION" description="Conexión a la consulta 'LIMITES PRECISION' en el libro." type="5" refreshedVersion="6" background="1" saveData="1">
    <dbPr connection="Provider=Microsoft.Mashup.OleDb.1;Data Source=$Workbook$;Location=&quot;LIMITES PRECISION&quot;;Extended Properties=&quot;&quot;" command="SELECT * FROM [LIMITES PRECISION]"/>
  </connection>
  <connection id="4" xr16:uid="{A2EAC04B-F1C4-416A-AA98-FD92BCB109E2}" keepAlive="1" name="Consulta - LIMITES RECUPERACION" description="Conexión a la consulta 'LIMITES RECUPERACION' en el libro." type="5" refreshedVersion="6" background="1">
    <dbPr connection="Provider=Microsoft.Mashup.OleDb.1;Data Source=$Workbook$;Location=&quot;LIMITES RECUPERACION&quot;;Extended Properties=&quot;&quot;" command="SELECT * FROM [LIMITES RECUPERACION]"/>
  </connection>
  <connection id="5" xr16:uid="{00000000-0015-0000-FFFF-FFFF07000000}" keepAlive="1" name="Consulta - MUESTRAS" description="Conexión a la consulta 'MUESTRAS' en el libro." type="5" refreshedVersion="6" background="1" refreshOnLoad="1" saveData="1">
    <dbPr connection="Provider=Microsoft.Mashup.OleDb.1;Data Source=$Workbook$;Location=MUESTRAS;Extended Properties=&quot;&quot;" command="SELECT * FROM [MUESTRAS]"/>
  </connection>
  <connection id="6" xr16:uid="{4BED8E9F-8D43-4BC4-9B07-F5912DFFC27C}" keepAlive="1" name="Consulta - PRECISION" description="Conexión a la consulta 'PRECISION' en el libro." type="5" refreshedVersion="6" background="1" saveData="1">
    <dbPr connection="Provider=Microsoft.Mashup.OleDb.1;Data Source=$Workbook$;Location=PRECISION;Extended Properties=&quot;&quot;" command="SELECT * FROM [PRECISION]"/>
  </connection>
  <connection id="7" xr16:uid="{8A17C38D-8237-4725-AFD6-7824DE34A914}" keepAlive="1" name="Consulta - RECUPERACION" description="Conexión a la consulta 'RECUPERACION' en el libro." type="5" refreshedVersion="6" background="1" saveData="1">
    <dbPr connection="Provider=Microsoft.Mashup.OleDb.1;Data Source=$Workbook$;Location=RECUPERACION;Extended Properties=&quot;&quot;" command="SELECT * FROM [RECUPERACION]"/>
  </connection>
</connections>
</file>

<file path=xl/sharedStrings.xml><?xml version="1.0" encoding="utf-8"?>
<sst xmlns="http://schemas.openxmlformats.org/spreadsheetml/2006/main" count="226" uniqueCount="157">
  <si>
    <t>METODO</t>
  </si>
  <si>
    <t>ANALISTA</t>
  </si>
  <si>
    <t>FECHA DE ANALISIS</t>
  </si>
  <si>
    <t>ANALISIS DE MUESTRAS</t>
  </si>
  <si>
    <t>ENSAYO 1</t>
  </si>
  <si>
    <t>ml</t>
  </si>
  <si>
    <t>BALANZA</t>
  </si>
  <si>
    <t>%</t>
  </si>
  <si>
    <t>ID MUESTRA</t>
  </si>
  <si>
    <t>FECHA ACTUALIZACION</t>
  </si>
  <si>
    <t>LECTURA (g)</t>
  </si>
  <si>
    <t>CORRECCION (g)</t>
  </si>
  <si>
    <t>Pendiente</t>
  </si>
  <si>
    <t>Intercepto</t>
  </si>
  <si>
    <t>FECHA</t>
  </si>
  <si>
    <t>MATRIZ</t>
  </si>
  <si>
    <t>OBSERVACIONES</t>
  </si>
  <si>
    <t>0812-18</t>
  </si>
  <si>
    <t>FACTORES DE CORRECCIONEQUIPOS UTILIZADOS EN EL ENSAYO</t>
  </si>
  <si>
    <t>ESTIMACION DE LA INCERTIDUMBRE POR FUENTES GLOBALES</t>
  </si>
  <si>
    <t>METODO DE REFERENCIA</t>
  </si>
  <si>
    <t>DATOS DE LA MUESTRA DE CONTROL DE CALIDAD</t>
  </si>
  <si>
    <t>DATOS DEL MATERIAL DE REFERENCIA</t>
  </si>
  <si>
    <t>GRÁFICO DE APORTES</t>
  </si>
  <si>
    <t>No.</t>
  </si>
  <si>
    <t>RESULTADO %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</si>
  <si>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</si>
  <si>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</si>
  <si>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</si>
  <si>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</si>
  <si>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</si>
  <si>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</si>
  <si>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</si>
  <si>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</si>
  <si>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</si>
  <si>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</si>
  <si>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</si>
  <si>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</si>
  <si>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</si>
  <si>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</si>
  <si>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</si>
  <si>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</si>
  <si>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</si>
  <si>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</si>
  <si>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</si>
  <si>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</si>
  <si>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</si>
  <si>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</si>
  <si>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</si>
  <si>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</si>
  <si>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</si>
  <si>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</si>
  <si>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</si>
  <si>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</si>
  <si>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</si>
  <si>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</si>
  <si>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</si>
  <si>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</si>
  <si>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</si>
  <si>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</si>
  <si>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</si>
  <si>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DATOS DE LA MUESTRA</t>
  </si>
  <si>
    <t>TIPO DE MUESTRA</t>
  </si>
  <si>
    <t>TIPOS DE MUESTRA</t>
  </si>
  <si>
    <t>MUESTRA DE RUTINA</t>
  </si>
  <si>
    <t>DUPLICADO</t>
  </si>
  <si>
    <t>ESTADO DEL RESULTADO</t>
  </si>
  <si>
    <t>ACEPTADO</t>
  </si>
  <si>
    <t>UNIDADES REPORTE</t>
  </si>
  <si>
    <t>UNIDADES VOLUMEN</t>
  </si>
  <si>
    <t>TRAZABILIDAD</t>
  </si>
  <si>
    <t>TITULADOR</t>
  </si>
  <si>
    <t>LECTURA (ml)</t>
  </si>
  <si>
    <t>CORRECCION (ml)</t>
  </si>
  <si>
    <t>LAS</t>
  </si>
  <si>
    <t>LAI</t>
  </si>
  <si>
    <t>LCS</t>
  </si>
  <si>
    <t>LCI</t>
  </si>
  <si>
    <t>LC</t>
  </si>
  <si>
    <t>LA</t>
  </si>
  <si>
    <t>RPD% MEDIA</t>
  </si>
  <si>
    <t>LIMITES DE RECUPERACION PARA LOS ESTANDARES DE CONTROL</t>
  </si>
  <si>
    <t>RECHAZADO</t>
  </si>
  <si>
    <t>LIMITES CARTA CONTROL DE PRECISION</t>
  </si>
  <si>
    <t>RPD%</t>
  </si>
  <si>
    <t>AOXLAB S.A.S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</si>
  <si>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</si>
  <si>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</si>
  <si>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</si>
  <si>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</si>
  <si>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</si>
  <si>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</si>
  <si>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</si>
  <si>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</si>
  <si>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</si>
  <si>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</si>
  <si>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</si>
  <si>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</si>
  <si>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</si>
  <si>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</si>
  <si>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</si>
  <si>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</si>
  <si>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</si>
  <si>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</si>
  <si>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</si>
  <si>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</si>
  <si>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</si>
  <si>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</si>
  <si>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</si>
  <si>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</si>
  <si>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</si>
  <si>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</si>
  <si>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</si>
  <si>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</si>
  <si>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</si>
  <si>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Identificación:</t>
  </si>
  <si>
    <t xml:space="preserve">Revisión: </t>
  </si>
  <si>
    <t>Inicio de vigencia:</t>
  </si>
  <si>
    <t>Revisión:</t>
  </si>
  <si>
    <t xml:space="preserve">Inicio de vigencia: </t>
  </si>
  <si>
    <t>WFRP</t>
  </si>
  <si>
    <t>MATERIAL DE REFERENCIA</t>
  </si>
  <si>
    <t>STD D01</t>
  </si>
  <si>
    <t>INFORMACION SOBRE LA PREPARACION DE CONTROLES DE CALIDAD</t>
  </si>
  <si>
    <t>Cuadro de mando para la determinación de alcalinidad en agua</t>
  </si>
  <si>
    <t>SOFT-TC-050</t>
  </si>
  <si>
    <t>VOL. MUESTRA (ml)</t>
  </si>
  <si>
    <t>VOLUMEN 1 (ml)</t>
  </si>
  <si>
    <t>VOLUMEN 1 CORREGIDO (ml)</t>
  </si>
  <si>
    <t>VOLUMEN 2 (ml)</t>
  </si>
  <si>
    <t>VOLUMEN 2 CORREGIDO (ml)</t>
  </si>
  <si>
    <t>pH 1</t>
  </si>
  <si>
    <t>pH 2</t>
  </si>
  <si>
    <t>REVISÓ</t>
  </si>
  <si>
    <t>VOL. INICIAL (ml)</t>
  </si>
  <si>
    <r>
      <t>ALCALINIDAD TOTAL
mg CaCO</t>
    </r>
    <r>
      <rPr>
        <b/>
        <vertAlign val="sub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/l</t>
    </r>
  </si>
  <si>
    <t>8569-19</t>
  </si>
  <si>
    <t>VOL. INICIAL CORREGIDO (ml)</t>
  </si>
  <si>
    <t>VOL. DILUCION (ml)</t>
  </si>
  <si>
    <t>ESTANDAR DE CONTROL</t>
  </si>
  <si>
    <t>VR. TEORICO mg CaCO3/l</t>
  </si>
  <si>
    <t>MASA Na2CO3 (g)</t>
  </si>
  <si>
    <t>PUREZA Na2CO3 (%)</t>
  </si>
  <si>
    <t>FACTOR DE DILUCIÓN</t>
  </si>
  <si>
    <t>ALCALINIDAD TOTAL
mg CaCO3/l</t>
  </si>
  <si>
    <t>DUPLICADOS.ALCALINIDAD TOTAL
mg CaCO3/l</t>
  </si>
  <si>
    <t>RESULTADO mg CaCO3/l</t>
  </si>
  <si>
    <t>R%</t>
  </si>
  <si>
    <t>CONTROL</t>
  </si>
  <si>
    <t>SM 2320 B Ed 23</t>
  </si>
  <si>
    <t>mg CaCO3/l</t>
  </si>
  <si>
    <t>LIMITE DE REPORTE mg CaCO3 /l</t>
  </si>
  <si>
    <t>8864-19</t>
  </si>
  <si>
    <t>8897-19</t>
  </si>
  <si>
    <t>8898-19</t>
  </si>
  <si>
    <t>8896-19</t>
  </si>
  <si>
    <t>CONCENTRACION H2SO4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</si>
</sst>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"/>
    <numFmt numFmtId="166" formatCode="yyyy\-mm\-dd;@"/>
    <numFmt numFmtId="167" formatCode="0.0000"/>
    <numFmt numFmtId="168" formatCode="0.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2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8"/>
      <color theme="3"/>
      <name val="Arial"/>
      <family val="2"/>
    </font>
    <font>
      <b/>
      <sz val="24"/>
      <color theme="3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 tint="-0.499984740745262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1"/>
      <color theme="3"/>
      <name val="Arial"/>
      <family val="2"/>
    </font>
    <font>
      <sz val="9"/>
      <color indexed="81"/>
      <name val="Tahoma"/>
      <family val="2"/>
    </font>
    <font>
      <b/>
      <vertAlign val="subscript"/>
      <sz val="10"/>
      <color theme="0"/>
      <name val="Arial"/>
      <family val="2"/>
    </font>
    <font>
      <sz val="11"/>
      <name val="Calibri"/>
      <family val="2"/>
      <scheme val="minor"/>
    </font>
    <font>
      <sz val="10"/>
      <color theme="2" tint="-0.49998474074526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76">
    <xf numFmtId="0" fontId="0" fillId="0" borderId="0" xfId="0"/>
    <xf numFmtId="0" fontId="3" fillId="0" borderId="0" xfId="0" applyFont="1" applyAlignment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6" xfId="0" applyBorder="1"/>
    <xf numFmtId="0" fontId="0" fillId="0" borderId="4" xfId="0" applyBorder="1"/>
    <xf numFmtId="165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14" fontId="0" fillId="0" borderId="13" xfId="0" applyNumberFormat="1" applyBorder="1"/>
    <xf numFmtId="14" fontId="0" fillId="0" borderId="6" xfId="0" applyNumberFormat="1" applyBorder="1"/>
    <xf numFmtId="0" fontId="2" fillId="0" borderId="0" xfId="0" applyFont="1"/>
    <xf numFmtId="49" fontId="0" fillId="0" borderId="0" xfId="0" applyNumberForma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/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2" fillId="3" borderId="23" xfId="0" applyFont="1" applyFill="1" applyBorder="1"/>
    <xf numFmtId="0" fontId="2" fillId="0" borderId="24" xfId="0" applyFont="1" applyBorder="1"/>
    <xf numFmtId="0" fontId="0" fillId="2" borderId="11" xfId="0" applyFill="1" applyBorder="1"/>
    <xf numFmtId="0" fontId="0" fillId="3" borderId="25" xfId="0" applyFill="1" applyBorder="1"/>
    <xf numFmtId="167" fontId="0" fillId="0" borderId="19" xfId="0" applyNumberFormat="1" applyBorder="1"/>
    <xf numFmtId="0" fontId="2" fillId="2" borderId="13" xfId="0" applyFont="1" applyFill="1" applyBorder="1"/>
    <xf numFmtId="0" fontId="0" fillId="3" borderId="11" xfId="0" applyFill="1" applyBorder="1"/>
    <xf numFmtId="167" fontId="0" fillId="0" borderId="13" xfId="0" applyNumberFormat="1" applyBorder="1"/>
    <xf numFmtId="0" fontId="0" fillId="0" borderId="13" xfId="0" applyBorder="1" applyProtection="1">
      <protection locked="0"/>
    </xf>
    <xf numFmtId="0" fontId="0" fillId="3" borderId="4" xfId="0" applyFill="1" applyBorder="1"/>
    <xf numFmtId="167" fontId="0" fillId="0" borderId="6" xfId="0" applyNumberFormat="1" applyBorder="1"/>
    <xf numFmtId="0" fontId="2" fillId="2" borderId="4" xfId="0" applyFont="1" applyFill="1" applyBorder="1"/>
    <xf numFmtId="0" fontId="0" fillId="0" borderId="6" xfId="0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4" borderId="5" xfId="0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5" fontId="0" fillId="0" borderId="5" xfId="0" applyNumberFormat="1" applyBorder="1"/>
    <xf numFmtId="165" fontId="0" fillId="0" borderId="6" xfId="0" applyNumberFormat="1" applyBorder="1"/>
    <xf numFmtId="166" fontId="0" fillId="4" borderId="12" xfId="0" applyNumberFormat="1" applyFill="1" applyBorder="1" applyProtection="1">
      <protection locked="0"/>
    </xf>
    <xf numFmtId="0" fontId="0" fillId="2" borderId="3" xfId="0" applyFont="1" applyFill="1" applyBorder="1"/>
    <xf numFmtId="0" fontId="0" fillId="2" borderId="6" xfId="0" applyFont="1" applyFill="1" applyBorder="1"/>
    <xf numFmtId="0" fontId="0" fillId="0" borderId="13" xfId="0" quotePrefix="1" applyBorder="1"/>
    <xf numFmtId="0" fontId="0" fillId="0" borderId="0" xfId="0" applyNumberFormat="1"/>
    <xf numFmtId="11" fontId="0" fillId="0" borderId="12" xfId="0" applyNumberFormat="1" applyBorder="1"/>
    <xf numFmtId="11" fontId="0" fillId="0" borderId="5" xfId="0" applyNumberFormat="1" applyBorder="1"/>
    <xf numFmtId="11" fontId="0" fillId="0" borderId="0" xfId="0" applyNumberFormat="1"/>
    <xf numFmtId="164" fontId="0" fillId="0" borderId="0" xfId="1" applyNumberFormat="1" applyFont="1"/>
    <xf numFmtId="0" fontId="0" fillId="0" borderId="0" xfId="0" applyProtection="1">
      <protection locked="0"/>
    </xf>
    <xf numFmtId="10" fontId="0" fillId="0" borderId="0" xfId="1" applyNumberFormat="1" applyFont="1"/>
    <xf numFmtId="167" fontId="0" fillId="0" borderId="0" xfId="0" applyNumberFormat="1"/>
    <xf numFmtId="167" fontId="2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9" fontId="0" fillId="0" borderId="0" xfId="1" applyFont="1"/>
    <xf numFmtId="0" fontId="11" fillId="6" borderId="0" xfId="0" applyFont="1" applyFill="1" applyBorder="1" applyAlignment="1">
      <alignment horizontal="center"/>
    </xf>
    <xf numFmtId="0" fontId="0" fillId="0" borderId="0" xfId="1" applyNumberFormat="1" applyFont="1"/>
    <xf numFmtId="167" fontId="0" fillId="0" borderId="0" xfId="0" applyNumberForma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30" xfId="0" applyFont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49" fontId="4" fillId="0" borderId="31" xfId="0" applyNumberFormat="1" applyFont="1" applyBorder="1" applyProtection="1">
      <protection locked="0"/>
    </xf>
    <xf numFmtId="166" fontId="0" fillId="0" borderId="32" xfId="0" applyNumberFormat="1" applyBorder="1" applyProtection="1">
      <protection locked="0"/>
    </xf>
    <xf numFmtId="167" fontId="5" fillId="0" borderId="32" xfId="0" applyNumberFormat="1" applyFont="1" applyBorder="1" applyProtection="1">
      <protection locked="0"/>
    </xf>
    <xf numFmtId="165" fontId="0" fillId="0" borderId="32" xfId="0" applyNumberFormat="1" applyBorder="1" applyProtection="1">
      <protection locked="0"/>
    </xf>
    <xf numFmtId="164" fontId="0" fillId="0" borderId="32" xfId="1" applyNumberFormat="1" applyFont="1" applyBorder="1" applyProtection="1">
      <protection locked="0"/>
    </xf>
    <xf numFmtId="10" fontId="11" fillId="6" borderId="0" xfId="1" applyNumberFormat="1" applyFont="1" applyFill="1" applyBorder="1" applyAlignment="1">
      <alignment horizontal="center"/>
    </xf>
    <xf numFmtId="0" fontId="0" fillId="5" borderId="0" xfId="0" applyFont="1" applyFill="1" applyBorder="1"/>
    <xf numFmtId="0" fontId="3" fillId="0" borderId="18" xfId="0" applyFont="1" applyBorder="1" applyAlignment="1"/>
    <xf numFmtId="0" fontId="41" fillId="0" borderId="14" xfId="0" applyFont="1" applyBorder="1" applyAlignment="1">
      <alignment horizontal="left" vertical="center" wrapText="1"/>
    </xf>
    <xf numFmtId="166" fontId="41" fillId="0" borderId="14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left" vertical="center" wrapText="1"/>
    </xf>
    <xf numFmtId="166" fontId="42" fillId="0" borderId="12" xfId="0" applyNumberFormat="1" applyFont="1" applyBorder="1" applyAlignment="1">
      <alignment horizontal="left" wrapText="1"/>
    </xf>
    <xf numFmtId="0" fontId="18" fillId="0" borderId="33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wrapText="1"/>
    </xf>
    <xf numFmtId="0" fontId="16" fillId="0" borderId="12" xfId="0" applyFont="1" applyBorder="1" applyAlignment="1">
      <alignment vertical="center" wrapText="1"/>
    </xf>
    <xf numFmtId="10" fontId="0" fillId="5" borderId="0" xfId="1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0" fontId="6" fillId="0" borderId="0" xfId="0" applyFont="1"/>
    <xf numFmtId="0" fontId="44" fillId="0" borderId="0" xfId="0" applyFont="1"/>
    <xf numFmtId="0" fontId="22" fillId="0" borderId="33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 wrapText="1"/>
    </xf>
    <xf numFmtId="0" fontId="22" fillId="0" borderId="33" xfId="0" applyFont="1" applyBorder="1" applyAlignment="1">
      <alignment wrapText="1"/>
    </xf>
    <xf numFmtId="166" fontId="45" fillId="0" borderId="14" xfId="0" applyNumberFormat="1" applyFont="1" applyBorder="1" applyAlignment="1">
      <alignment horizontal="left" wrapText="1"/>
    </xf>
    <xf numFmtId="166" fontId="5" fillId="0" borderId="32" xfId="0" applyNumberFormat="1" applyFont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29" xfId="0" applyBorder="1" applyProtection="1">
      <protection locked="0"/>
    </xf>
    <xf numFmtId="166" fontId="0" fillId="0" borderId="0" xfId="0" applyNumberFormat="1"/>
    <xf numFmtId="0" fontId="48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wrapText="1"/>
    </xf>
    <xf numFmtId="166" fontId="49" fillId="0" borderId="12" xfId="0" applyNumberFormat="1" applyFont="1" applyBorder="1" applyAlignment="1">
      <alignment horizontal="left" wrapText="1"/>
    </xf>
    <xf numFmtId="1" fontId="5" fillId="0" borderId="32" xfId="0" applyNumberFormat="1" applyFont="1" applyBorder="1" applyProtection="1">
      <protection locked="0"/>
    </xf>
    <xf numFmtId="167" fontId="0" fillId="0" borderId="32" xfId="0" applyNumberFormat="1" applyBorder="1" applyProtection="1">
      <protection locked="0"/>
    </xf>
    <xf numFmtId="165" fontId="53" fillId="0" borderId="32" xfId="1" applyNumberFormat="1" applyFont="1" applyFill="1" applyBorder="1" applyProtection="1">
      <protection locked="0"/>
    </xf>
    <xf numFmtId="167" fontId="54" fillId="0" borderId="32" xfId="0" applyNumberFormat="1" applyFont="1" applyBorder="1" applyProtection="1">
      <protection hidden="1"/>
    </xf>
    <xf numFmtId="2" fontId="15" fillId="0" borderId="32" xfId="0" applyNumberFormat="1" applyFont="1" applyBorder="1" applyProtection="1">
      <protection hidden="1"/>
    </xf>
    <xf numFmtId="0" fontId="3" fillId="0" borderId="38" xfId="0" applyFont="1" applyBorder="1" applyAlignment="1"/>
    <xf numFmtId="0" fontId="29" fillId="0" borderId="39" xfId="0" applyFont="1" applyBorder="1" applyAlignment="1"/>
    <xf numFmtId="49" fontId="28" fillId="0" borderId="39" xfId="0" applyNumberFormat="1" applyFont="1" applyBorder="1" applyAlignment="1"/>
    <xf numFmtId="0" fontId="30" fillId="0" borderId="39" xfId="0" applyFont="1" applyBorder="1"/>
    <xf numFmtId="2" fontId="30" fillId="0" borderId="24" xfId="0" applyNumberFormat="1" applyFont="1" applyBorder="1"/>
    <xf numFmtId="0" fontId="13" fillId="0" borderId="0" xfId="0" applyFont="1" applyBorder="1" applyAlignment="1"/>
    <xf numFmtId="0" fontId="12" fillId="0" borderId="0" xfId="0" applyFont="1" applyBorder="1"/>
    <xf numFmtId="0" fontId="13" fillId="0" borderId="21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1" fillId="0" borderId="30" xfId="0" applyFont="1" applyBorder="1" applyAlignment="1">
      <alignment horizontal="center"/>
    </xf>
    <xf numFmtId="165" fontId="15" fillId="0" borderId="32" xfId="0" applyNumberFormat="1" applyFont="1" applyFill="1" applyBorder="1" applyProtection="1">
      <protection hidden="1"/>
    </xf>
    <xf numFmtId="165" fontId="53" fillId="0" borderId="32" xfId="0" applyNumberFormat="1" applyFont="1" applyFill="1" applyBorder="1" applyProtection="1">
      <protection locked="0"/>
    </xf>
    <xf numFmtId="168" fontId="15" fillId="0" borderId="32" xfId="1" applyNumberFormat="1" applyFont="1" applyFill="1" applyBorder="1" applyProtection="1">
      <protection hidden="1"/>
    </xf>
    <xf numFmtId="166" fontId="15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2" fontId="15" fillId="0" borderId="0" xfId="1" applyNumberFormat="1" applyFont="1" applyProtection="1">
      <protection hidden="1"/>
    </xf>
    <xf numFmtId="164" fontId="15" fillId="0" borderId="0" xfId="1" applyNumberFormat="1" applyFont="1" applyProtection="1">
      <protection hidden="1"/>
    </xf>
    <xf numFmtId="164" fontId="53" fillId="0" borderId="0" xfId="1" applyNumberFormat="1" applyFont="1" applyProtection="1">
      <protection locked="0"/>
    </xf>
    <xf numFmtId="0" fontId="18" fillId="0" borderId="33" xfId="0" applyFont="1" applyBorder="1" applyAlignment="1" applyProtection="1">
      <alignment vertical="center" wrapText="1"/>
      <protection hidden="1"/>
    </xf>
    <xf numFmtId="0" fontId="41" fillId="0" borderId="14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18" fillId="0" borderId="33" xfId="0" applyFont="1" applyBorder="1" applyAlignment="1" applyProtection="1">
      <alignment wrapText="1"/>
      <protection hidden="1"/>
    </xf>
    <xf numFmtId="166" fontId="41" fillId="0" borderId="14" xfId="0" applyNumberFormat="1" applyFont="1" applyBorder="1" applyAlignment="1" applyProtection="1">
      <alignment horizontal="left" wrapText="1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2" fontId="0" fillId="0" borderId="0" xfId="0" applyNumberFormat="1" applyProtection="1">
      <protection hidden="1"/>
    </xf>
    <xf numFmtId="0" fontId="4" fillId="0" borderId="12" xfId="0" applyFont="1" applyBorder="1" applyAlignment="1" applyProtection="1">
      <alignment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166" fontId="4" fillId="0" borderId="12" xfId="0" applyNumberFormat="1" applyFont="1" applyBorder="1" applyAlignment="1" applyProtection="1">
      <alignment horizontal="center" vertical="center" wrapText="1"/>
      <protection hidden="1"/>
    </xf>
    <xf numFmtId="0" fontId="36" fillId="0" borderId="12" xfId="0" applyFont="1" applyBorder="1" applyAlignment="1" applyProtection="1">
      <alignment horizontal="center" vertical="center" wrapText="1"/>
      <protection hidden="1"/>
    </xf>
    <xf numFmtId="166" fontId="36" fillId="0" borderId="12" xfId="0" applyNumberFormat="1" applyFont="1" applyBorder="1" applyAlignment="1" applyProtection="1">
      <alignment horizontal="center" vertical="center" wrapText="1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14" fontId="5" fillId="0" borderId="12" xfId="0" applyNumberFormat="1" applyFont="1" applyBorder="1" applyAlignment="1" applyProtection="1">
      <alignment horizontal="center" vertical="center" wrapText="1"/>
      <protection hidden="1"/>
    </xf>
    <xf numFmtId="0" fontId="37" fillId="0" borderId="12" xfId="0" applyFont="1" applyBorder="1" applyAlignment="1" applyProtection="1">
      <alignment vertical="center" wrapText="1"/>
      <protection hidden="1"/>
    </xf>
    <xf numFmtId="0" fontId="36" fillId="0" borderId="12" xfId="0" applyFont="1" applyBorder="1" applyAlignment="1" applyProtection="1">
      <alignment vertical="center" wrapText="1"/>
      <protection hidden="1"/>
    </xf>
    <xf numFmtId="0" fontId="37" fillId="0" borderId="37" xfId="0" applyFont="1" applyBorder="1" applyAlignment="1" applyProtection="1">
      <alignment horizontal="center" vertical="center" wrapText="1"/>
      <protection hidden="1"/>
    </xf>
    <xf numFmtId="0" fontId="37" fillId="0" borderId="37" xfId="0" applyFont="1" applyBorder="1" applyAlignment="1" applyProtection="1">
      <alignment vertical="center" wrapText="1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166" fontId="4" fillId="0" borderId="32" xfId="0" applyNumberFormat="1" applyFont="1" applyBorder="1" applyProtection="1">
      <protection locked="0"/>
    </xf>
    <xf numFmtId="168" fontId="5" fillId="0" borderId="32" xfId="0" applyNumberFormat="1" applyFont="1" applyBorder="1" applyProtection="1">
      <protection locked="0"/>
    </xf>
    <xf numFmtId="168" fontId="54" fillId="0" borderId="32" xfId="0" applyNumberFormat="1" applyFont="1" applyBorder="1" applyProtection="1">
      <protection hidden="1"/>
    </xf>
    <xf numFmtId="168" fontId="0" fillId="0" borderId="32" xfId="0" applyNumberFormat="1" applyBorder="1" applyProtection="1">
      <protection locked="0"/>
    </xf>
    <xf numFmtId="168" fontId="15" fillId="0" borderId="32" xfId="0" applyNumberFormat="1" applyFont="1" applyFill="1" applyBorder="1" applyProtection="1">
      <protection hidden="1"/>
    </xf>
    <xf numFmtId="168" fontId="53" fillId="0" borderId="32" xfId="0" applyNumberFormat="1" applyFont="1" applyFill="1" applyBorder="1" applyProtection="1">
      <protection locked="0"/>
    </xf>
    <xf numFmtId="168" fontId="15" fillId="0" borderId="32" xfId="0" applyNumberFormat="1" applyFont="1" applyBorder="1" applyProtection="1"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33" xfId="0" applyFont="1" applyBorder="1" applyAlignment="1" applyProtection="1">
      <alignment horizontal="center" vertical="center" wrapText="1"/>
      <protection hidden="1"/>
    </xf>
    <xf numFmtId="0" fontId="17" fillId="0" borderId="27" xfId="0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center" vertical="center" wrapText="1"/>
      <protection hidden="1"/>
    </xf>
    <xf numFmtId="0" fontId="17" fillId="0" borderId="28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wrapText="1"/>
      <protection hidden="1"/>
    </xf>
    <xf numFmtId="0" fontId="17" fillId="0" borderId="35" xfId="0" applyFont="1" applyBorder="1" applyAlignment="1" applyProtection="1">
      <alignment horizontal="center" vertical="center" wrapText="1"/>
      <protection hidden="1"/>
    </xf>
    <xf numFmtId="0" fontId="19" fillId="0" borderId="33" xfId="0" applyFont="1" applyBorder="1" applyAlignment="1" applyProtection="1">
      <alignment horizontal="center" vertical="center" wrapText="1"/>
      <protection hidden="1"/>
    </xf>
    <xf numFmtId="0" fontId="19" fillId="0" borderId="36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2" fillId="0" borderId="33" xfId="0" applyFont="1" applyBorder="1" applyAlignment="1" applyProtection="1">
      <alignment horizontal="center" vertical="center"/>
      <protection hidden="1"/>
    </xf>
    <xf numFmtId="0" fontId="32" fillId="0" borderId="14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left"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left" vertical="center" wrapText="1"/>
      <protection hidden="1"/>
    </xf>
    <xf numFmtId="0" fontId="4" fillId="0" borderId="36" xfId="0" applyFont="1" applyBorder="1" applyAlignment="1" applyProtection="1">
      <alignment horizontal="left" vertical="center" wrapText="1"/>
      <protection hidden="1"/>
    </xf>
    <xf numFmtId="0" fontId="4" fillId="0" borderId="14" xfId="0" applyFont="1" applyBorder="1" applyAlignment="1" applyProtection="1">
      <alignment horizontal="left" vertical="center" wrapText="1"/>
      <protection hidden="1"/>
    </xf>
    <xf numFmtId="0" fontId="31" fillId="0" borderId="33" xfId="4" applyBorder="1" applyAlignment="1" applyProtection="1">
      <alignment horizontal="center" vertical="center" wrapText="1"/>
      <protection hidden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35" fillId="0" borderId="26" xfId="0" applyFont="1" applyBorder="1" applyAlignment="1" applyProtection="1">
      <alignment horizontal="center" vertical="center" wrapText="1"/>
      <protection hidden="1"/>
    </xf>
    <xf numFmtId="0" fontId="35" fillId="0" borderId="37" xfId="0" applyFont="1" applyBorder="1" applyAlignment="1" applyProtection="1">
      <alignment horizontal="center" vertical="center" wrapText="1"/>
      <protection hidden="1"/>
    </xf>
    <xf numFmtId="0" fontId="7" fillId="0" borderId="39" xfId="0" applyFont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7" fillId="0" borderId="39" xfId="0" applyFont="1" applyBorder="1" applyAlignment="1">
      <alignment horizontal="left"/>
    </xf>
    <xf numFmtId="0" fontId="28" fillId="0" borderId="23" xfId="0" applyFont="1" applyBorder="1"/>
    <xf numFmtId="0" fontId="28" fillId="0" borderId="39" xfId="0" applyFont="1" applyBorder="1"/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1" fillId="0" borderId="2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166" fontId="42" fillId="0" borderId="33" xfId="0" applyNumberFormat="1" applyFont="1" applyBorder="1" applyAlignment="1">
      <alignment horizontal="center" wrapText="1"/>
    </xf>
    <xf numFmtId="166" fontId="42" fillId="0" borderId="36" xfId="0" applyNumberFormat="1" applyFont="1" applyBorder="1" applyAlignment="1">
      <alignment horizontal="center" wrapText="1"/>
    </xf>
    <xf numFmtId="166" fontId="42" fillId="0" borderId="14" xfId="0" applyNumberFormat="1" applyFont="1" applyBorder="1" applyAlignment="1">
      <alignment horizont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wrapText="1"/>
    </xf>
    <xf numFmtId="0" fontId="20" fillId="0" borderId="36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right" vertical="center" wrapText="1"/>
    </xf>
    <xf numFmtId="0" fontId="41" fillId="0" borderId="14" xfId="0" applyFont="1" applyBorder="1" applyAlignment="1">
      <alignment horizontal="right" vertical="center" wrapText="1"/>
    </xf>
    <xf numFmtId="166" fontId="41" fillId="0" borderId="33" xfId="0" applyNumberFormat="1" applyFont="1" applyBorder="1" applyAlignment="1">
      <alignment horizontal="right" wrapText="1"/>
    </xf>
    <xf numFmtId="166" fontId="41" fillId="0" borderId="14" xfId="0" applyNumberFormat="1" applyFont="1" applyBorder="1" applyAlignment="1">
      <alignment horizontal="right" wrapText="1"/>
    </xf>
    <xf numFmtId="0" fontId="18" fillId="0" borderId="33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3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0" fillId="2" borderId="17" xfId="0" applyFill="1" applyBorder="1"/>
    <xf numFmtId="0" fontId="0" fillId="2" borderId="15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4" fillId="0" borderId="3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0" fillId="2" borderId="16" xfId="0" applyFill="1" applyBorder="1"/>
    <xf numFmtId="0" fontId="0" fillId="2" borderId="14" xfId="0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59">
    <dxf>
      <numFmt numFmtId="164" formatCode="0.0%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numFmt numFmtId="166" formatCode="yyyy\-mm\-dd;@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protection locked="0" hidden="0"/>
    </dxf>
    <dxf>
      <protection locked="0" hidden="0"/>
    </dxf>
    <dxf>
      <numFmt numFmtId="167" formatCode="0.00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164" formatCode="0.0%"/>
      <protection locked="1" hidden="1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2" formatCode="0.00"/>
      <protection locked="1" hidden="1"/>
    </dxf>
    <dxf>
      <protection locked="0" hidden="0"/>
    </dxf>
    <dxf>
      <protection locked="0" hidden="0"/>
    </dxf>
    <dxf>
      <numFmt numFmtId="14" formatCode="0.00%"/>
      <protection locked="0" hidden="0"/>
    </dxf>
    <dxf>
      <numFmt numFmtId="167" formatCode="0.0000"/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166" formatCode="yyyy\-mm\-dd;@"/>
      <protection locked="1" hidden="1"/>
    </dxf>
    <dxf>
      <protection locked="0" hidden="0"/>
    </dxf>
    <dxf>
      <border diagonalUp="0" diagonalDown="0">
        <left style="thin">
          <color auto="1"/>
        </left>
        <right style="medium">
          <color auto="1"/>
        </right>
        <top/>
        <bottom/>
        <vertical style="thin">
          <color auto="1"/>
        </vertical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168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165" formatCode="0.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numFmt numFmtId="165" formatCode="0.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Arial"/>
        <family val="2"/>
        <scheme val="none"/>
      </font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z val="10"/>
        <color rgb="FF000000"/>
        <name val="Arial"/>
        <family val="2"/>
        <scheme val="none"/>
      </font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border diagonalUp="0" diagonalDown="0">
        <left style="medium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rgb="FFFF0000"/>
      </font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 TITULADOR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9505987984193363E-3"/>
                  <c:y val="-0.12551778606835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mando'!$F$11:$F$13</c:f>
            </c:numRef>
          </c:xVal>
          <c:yVal>
            <c:numRef>
              <c:f>'Cuadro de mando'!$G$11:$G$13</c:f>
            </c:numRef>
          </c:yVal>
          <c:smooth val="0"/>
          <c:extLst>
            <c:ext xmlns:c16="http://schemas.microsoft.com/office/drawing/2014/chart" uri="{C3380CC4-5D6E-409C-BE32-E72D297353CC}">
              <c16:uniqueId val="{00000000-B292-46B6-B20D-0D3AD26A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33624"/>
        <c:axId val="405678872"/>
      </c:scatterChart>
      <c:valAx>
        <c:axId val="512633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VOLUMNE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678872"/>
        <c:crosses val="autoZero"/>
        <c:crossBetween val="midCat"/>
      </c:valAx>
      <c:valAx>
        <c:axId val="40567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CORRECCION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2633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'R%'!$A$5</c:f>
          <c:strCache>
            <c:ptCount val="1"/>
            <c:pt idx="0">
              <c:v>GRAFICO CONTROL DE RECUPERACION PARA EL ESTANDAR DE CONTROL ENTRE 2019-09-19 Y 2019-09-19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'R%'!$F$6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'R%'!$A$7:$E$7</c:f>
              <c:strCache>
                <c:ptCount val="5"/>
                <c:pt idx="0">
                  <c:v>STD D01</c:v>
                </c:pt>
                <c:pt idx="1">
                  <c:v>2019-09-19</c:v>
                </c:pt>
                <c:pt idx="2">
                  <c:v>0,423575534</c:v>
                </c:pt>
                <c:pt idx="3">
                  <c:v>0,9</c:v>
                </c:pt>
                <c:pt idx="4">
                  <c:v>0,95</c:v>
                </c:pt>
              </c:strCache>
            </c:strRef>
          </c:cat>
          <c:val>
            <c:numRef>
              <c:f>'R%'!$F$7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1DE-4FFD-BB6E-1CF273371325}"/>
            </c:ext>
          </c:extLst>
        </c:ser>
        <c:ser>
          <c:idx val="1"/>
          <c:order val="1"/>
          <c:tx>
            <c:strRef>
              <c:f>'R%'!$G$6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'R%'!$A$7:$E$7</c:f>
              <c:strCache>
                <c:ptCount val="5"/>
                <c:pt idx="0">
                  <c:v>STD D01</c:v>
                </c:pt>
                <c:pt idx="1">
                  <c:v>2019-09-19</c:v>
                </c:pt>
                <c:pt idx="2">
                  <c:v>0,423575534</c:v>
                </c:pt>
                <c:pt idx="3">
                  <c:v>0,9</c:v>
                </c:pt>
                <c:pt idx="4">
                  <c:v>0,95</c:v>
                </c:pt>
              </c:strCache>
            </c:strRef>
          </c:cat>
          <c:val>
            <c:numRef>
              <c:f>'R%'!$G$7</c:f>
              <c:numCache>
                <c:formatCode>General</c:formatCode>
                <c:ptCount val="1"/>
                <c:pt idx="0">
                  <c:v>1.05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1DE-4FFD-BB6E-1CF273371325}"/>
            </c:ext>
          </c:extLst>
        </c:ser>
        <c:ser>
          <c:idx val="2"/>
          <c:order val="2"/>
          <c:tx>
            <c:strRef>
              <c:f>'R%'!$H$6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'R%'!$A$7:$E$7</c:f>
              <c:strCache>
                <c:ptCount val="5"/>
                <c:pt idx="0">
                  <c:v>STD D01</c:v>
                </c:pt>
                <c:pt idx="1">
                  <c:v>2019-09-19</c:v>
                </c:pt>
                <c:pt idx="2">
                  <c:v>0,423575534</c:v>
                </c:pt>
                <c:pt idx="3">
                  <c:v>0,9</c:v>
                </c:pt>
                <c:pt idx="4">
                  <c:v>0,95</c:v>
                </c:pt>
              </c:strCache>
            </c:strRef>
          </c:cat>
          <c:val>
            <c:numRef>
              <c:f>'R%'!$H$7</c:f>
              <c:numCache>
                <c:formatCode>General</c:formatCode>
                <c:ptCount val="1"/>
                <c:pt idx="0">
                  <c:v>1.1000000000000001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1DE-4FFD-BB6E-1CF273371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478856"/>
        <c:axId val="846479184"/>
        <c:extLst/>
      </c:lineChart>
      <c:catAx>
        <c:axId val="846478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9184"/>
        <c:crosses val="autoZero"/>
        <c:auto val="1"/>
        <c:lblAlgn val="ctr"/>
        <c:lblOffset val="100"/>
        <c:noMultiLvlLbl val="0"/>
      </c:catAx>
      <c:valAx>
        <c:axId val="8464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Precision!$A$5</c:f>
          <c:strCache>
            <c:ptCount val="1"/>
            <c:pt idx="0">
              <c:v>GRAFICO DE PRECISION  ENTRE 2019-09-19 Y 2019-09-19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Precision!$G$6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Precision!$A$6:$A$7</c:f>
              <c:strCache>
                <c:ptCount val="2"/>
                <c:pt idx="0">
                  <c:v>ID MUESTRA</c:v>
                </c:pt>
                <c:pt idx="1">
                  <c:v>8569-19</c:v>
                </c:pt>
              </c:strCache>
            </c:strRef>
          </c:cat>
          <c:val>
            <c:numRef>
              <c:f>Precision!$G$7</c:f>
              <c:numCache>
                <c:formatCode>0.0%</c:formatCode>
                <c:ptCount val="1"/>
                <c:pt idx="0">
                  <c:v>2.0010690609864001E-15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3-445B-A54B-1C68F77FF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023432"/>
        <c:axId val="1147023760"/>
      </c:lineChart>
      <c:catAx>
        <c:axId val="1147023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760"/>
        <c:crosses val="autoZero"/>
        <c:auto val="1"/>
        <c:lblAlgn val="ctr"/>
        <c:lblOffset val="100"/>
        <c:noMultiLvlLbl val="0"/>
      </c:catAx>
      <c:valAx>
        <c:axId val="11470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'Fuentes globales'!$K$13:$K$14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'Fuentes globales'!$J$15:$J$17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'Fuentes globales'!$K$15:$K$17</c:f>
              <c:numCache>
                <c:formatCode>0.0000</c:formatCode>
                <c:ptCount val="3"/>
                <c:pt idx="0">
                  <c:v>1.2430939226519336E-2</c:v>
                </c:pt>
                <c:pt idx="1">
                  <c:v>2.9621139090182432E-2</c:v>
                </c:pt>
                <c:pt idx="2">
                  <c:v>5.7491463426271913E-2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054D3F-8BF4-4817-BE9C-1C27A5CE327F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B67AD6-C4DA-4A6A-9002-18AC98C83E76}">
  <sheetPr/>
  <sheetViews>
    <sheetView zoomScale="10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84CFA16A-355D-40C3-AF68-035DBCD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BE77-5C5B-495F-9E28-D7995FAD9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616DE-7C77-4336-A930-A1CBF8265A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14</xdr:row>
      <xdr:rowOff>47625</xdr:rowOff>
    </xdr:from>
    <xdr:to>
      <xdr:col>6</xdr:col>
      <xdr:colOff>1360170</xdr:colOff>
      <xdr:row>14</xdr:row>
      <xdr:rowOff>352425</xdr:rowOff>
    </xdr:to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51862D0E-921D-46EE-833E-423BD829AD2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2420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34070</xdr:colOff>
      <xdr:row>7</xdr:row>
      <xdr:rowOff>120894</xdr:rowOff>
    </xdr:from>
    <xdr:to>
      <xdr:col>4</xdr:col>
      <xdr:colOff>1267557</xdr:colOff>
      <xdr:row>14</xdr:row>
      <xdr:rowOff>78030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172181</xdr:colOff>
      <xdr:row>6</xdr:row>
      <xdr:rowOff>153866</xdr:rowOff>
    </xdr:from>
    <xdr:to>
      <xdr:col>9</xdr:col>
      <xdr:colOff>0</xdr:colOff>
      <xdr:row>14</xdr:row>
      <xdr:rowOff>58617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D58179-B480-40B4-A112-60BE99F4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105332</xdr:colOff>
      <xdr:row>2</xdr:row>
      <xdr:rowOff>152401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A70AD2CD-CF35-49CD-ADF3-917F5880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0</xdr:colOff>
      <xdr:row>2</xdr:row>
      <xdr:rowOff>98818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C86EB077-250A-4CE2-8019-FADA41DC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3925" cy="60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1457882</xdr:colOff>
      <xdr:row>2</xdr:row>
      <xdr:rowOff>314325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6419BDE3-EEE5-4043-A99D-11B5086D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561ABB-8F34-44BE-A95A-2C950F178F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238125</xdr:colOff>
      <xdr:row>2</xdr:row>
      <xdr:rowOff>273065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C6FFDA8-B005-42DF-82D8-D16EC9C7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90625" cy="777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920114</xdr:colOff>
      <xdr:row>2</xdr:row>
      <xdr:rowOff>161925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2D30D1A-D544-4DF9-95C2-934B17B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0114" cy="666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6544" cy="62939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BB0052-967E-4D9D-AB74-1494C89AAC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0</xdr:col>
      <xdr:colOff>1171574</xdr:colOff>
      <xdr:row>2</xdr:row>
      <xdr:rowOff>228600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C8E5E4A8-8DFA-4E48-BD4C-417ED86C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71574" cy="7334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B2AF4196-9620-48C4-816C-D5B58A84831E}" autoFormatId="16" applyNumberFormats="0" applyBorderFormats="0" applyFontFormats="0" applyPatternFormats="0" applyAlignmentFormats="0" applyWidthHeightFormats="0">
  <queryTableRefresh nextId="36">
    <queryTableFields count="8">
      <queryTableField id="1" name="ID MUESTRA" tableColumnId="1"/>
      <queryTableField id="2" name="FECHA DE ANALISIS" tableColumnId="2"/>
      <queryTableField id="23" name="R%" tableColumnId="10"/>
      <queryTableField id="29" name="LCI" tableColumnId="17"/>
      <queryTableField id="30" name="LAI" tableColumnId="18"/>
      <queryTableField id="31" name="PROMEDIO" tableColumnId="19"/>
      <queryTableField id="32" name="LAS" tableColumnId="20"/>
      <queryTableField id="33" name="LCS" tableColumnId="2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AEC95B-EE7B-4695-A654-4E54A3EDD9CE}" autoFormatId="16" applyNumberFormats="0" applyBorderFormats="0" applyFontFormats="0" applyPatternFormats="0" applyAlignmentFormats="0" applyWidthHeightFormats="0">
  <queryTableRefresh nextId="28">
    <queryTableFields count="7">
      <queryTableField id="1" name="ID MUESTRA" tableColumnId="1"/>
      <queryTableField id="2" name="FECHA DE ANALISIS" tableColumnId="2"/>
      <queryTableField id="3" name="TIPO DE MUESTRA" tableColumnId="3"/>
      <queryTableField id="21" name="ALCALINIDAD TOTAL_x000a_mg CaCO3/l" tableColumnId="4"/>
      <queryTableField id="22" name="ESTADO DEL RESULTADO" tableColumnId="5"/>
      <queryTableField id="25" name="DUPLICADOS.ALCALINIDAD TOTAL_x000a_mg CaCO3/l" tableColumnId="8"/>
      <queryTableField id="27" name="RPD%" tableColumnId="10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S41" totalsRowShown="0" headerRowDxfId="56" tableBorderDxfId="55">
  <autoFilter ref="A19:S41" xr:uid="{00000000-0009-0000-0100-000001000000}"/>
  <tableColumns count="19">
    <tableColumn id="3" xr3:uid="{00000000-0010-0000-0000-000003000000}" name="ID MUESTRA" dataDxfId="54"/>
    <tableColumn id="1" xr3:uid="{00000000-0010-0000-0000-000001000000}" name="FECHA DE ANALISIS" dataDxfId="53"/>
    <tableColumn id="2" xr3:uid="{00000000-0010-0000-0000-000002000000}" name="TIPO DE MUESTRA" dataDxfId="52"/>
    <tableColumn id="5" xr3:uid="{00000000-0010-0000-0000-000005000000}" name="VOL. MUESTRA (ml)" dataDxfId="51"/>
    <tableColumn id="9" xr3:uid="{00000000-0010-0000-0000-000009000000}" name="CONCENTRACION H2SO4 (N)" dataDxfId="50"/>
    <tableColumn id="4" xr3:uid="{6EE96CD2-5935-40E8-B748-B99AA71DCB1E}" name="VOL. INICIAL (ml)" dataDxfId="49"/>
    <tableColumn id="21" xr3:uid="{A9671651-797D-41E6-9C51-114F8246DB16}" name="VOL. INICIAL CORREGIDO (ml)" dataDxfId="48">
      <calculatedColumnFormula>IF(ISBLANK(Tabla1[[#This Row],[VOL. INICIAL (ml)]])=TRUE,"",Tabla1[[#This Row],[VOL. INICIAL (ml)]]+($G$14*Tabla1[[#This Row],[VOL. INICIAL (ml)]]+G$15))</calculatedColumnFormula>
    </tableColumn>
    <tableColumn id="7" xr3:uid="{00000000-0010-0000-0000-000007000000}" name="VOLUMEN 1 (ml)" dataDxfId="47"/>
    <tableColumn id="8" xr3:uid="{00000000-0010-0000-0000-000008000000}" name="VOLUMEN 1 CORREGIDO (ml)" dataDxfId="46">
      <calculatedColumnFormula>IF(ISBLANK(Tabla1[[#This Row],[VOLUMEN 1 (ml)]])=TRUE,"",Tabla1[[#This Row],[VOLUMEN 1 (ml)]]+($G$14*Tabla1[[#This Row],[VOLUMEN 1 (ml)]]+G$15))</calculatedColumnFormula>
    </tableColumn>
    <tableColumn id="19" xr3:uid="{34F1CF4A-EECD-4A28-94F4-125A2141B5D7}" name="pH 1" dataDxfId="45"/>
    <tableColumn id="6" xr3:uid="{7080DF6B-6440-4D7C-AB23-5DFEE511FFE2}" name="VOLUMEN 2 (ml)" dataDxfId="44"/>
    <tableColumn id="18" xr3:uid="{7E7F97E8-1AD2-436B-AEC9-8526E2C7CEDB}" name="VOLUMEN 2 CORREGIDO (ml)" dataDxfId="43">
      <calculatedColumnFormula>IF(ISBLANK(Tabla1[[#This Row],[VOLUMEN 2 (ml)]])=TRUE,"",Tabla1[[#This Row],[VOLUMEN 2 (ml)]]+($G$14*Tabla1[[#This Row],[VOLUMEN 2 (ml)]]+G$15))</calculatedColumnFormula>
    </tableColumn>
    <tableColumn id="10" xr3:uid="{00000000-0010-0000-0000-00000A000000}" name="pH 2" dataDxfId="42" dataCellStyle="Porcentaje"/>
    <tableColumn id="11" xr3:uid="{00000000-0010-0000-0000-00000B000000}" name="ALCALINIDAD TOTAL_x000a_mg CaCO3/l" dataDxfId="41" dataCellStyle="Porcentaje">
      <calculatedColumnFormula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calculatedColumnFormula>
    </tableColumn>
    <tableColumn id="12" xr3:uid="{00000000-0010-0000-0000-00000C000000}" name="ANALISTA" dataDxfId="40" dataCellStyle="Porcentaje"/>
    <tableColumn id="20" xr3:uid="{DC637C13-291F-4EB7-828B-1C38C7511503}" name="REVISÓ" dataDxfId="39" dataCellStyle="Porcentaje"/>
    <tableColumn id="13" xr3:uid="{00000000-0010-0000-0000-00000D000000}" name="ESTADO DEL RESULTADO" dataDxfId="38" dataCellStyle="Porcentaje"/>
    <tableColumn id="16" xr3:uid="{F31AEB59-6D2F-4E9B-8481-6FC2E2AB2925}" name="OBSERVACIONES" dataDxfId="37"/>
    <tableColumn id="17" xr3:uid="{E8247EC3-A5EB-452A-B0DB-7016FAAC68E6}" name="TRAZABILIDAD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2608F0-39E1-48F8-AB07-9C5CBE901B32}" name="Tabla3" displayName="Tabla3" ref="A7:K13" totalsRowShown="0">
  <autoFilter ref="A7:K13" xr:uid="{19BBDF0E-29C2-446C-947C-B4EEADE23F9C}"/>
  <tableColumns count="11">
    <tableColumn id="1" xr3:uid="{6F2F8F93-908C-4E09-B96B-E405C48F0667}" name="ID MUESTRA" dataDxfId="35"/>
    <tableColumn id="2" xr3:uid="{B039B372-5ABC-4476-A543-CDEC450FA726}" name="FECHA DE ANALISIS" dataDxfId="34"/>
    <tableColumn id="3" xr3:uid="{0DADAB56-32A5-4C3C-B3E1-FA8D39418879}" name="TIPO DE MUESTRA" dataDxfId="33"/>
    <tableColumn id="4" xr3:uid="{483DF882-F05C-4E8F-9811-6842D76A5D1C}" name="MASA Na2CO3 (g)" dataDxfId="32"/>
    <tableColumn id="7" xr3:uid="{626B7D99-5145-4A0E-9F63-B9E86F3494AE}" name="PUREZA Na2CO3 (%)" dataDxfId="31"/>
    <tableColumn id="5" xr3:uid="{4D1CBED8-8C67-423D-995B-C3688FA46728}" name="VOL. DILUCION (ml)" dataDxfId="30"/>
    <tableColumn id="8" xr3:uid="{1BBA4C18-F16F-444F-A3CD-FCD09D8A41CB}" name="FACTOR DE DILUCIÓN" dataDxfId="29"/>
    <tableColumn id="6" xr3:uid="{DE905B80-DB45-45B3-9340-8D9958848113}" name="VR. TEORICO mg CaCO3/l" dataDxfId="28" dataCellStyle="Porcentaje">
      <calculatedColumnFormula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calculatedColumnFormula>
    </tableColumn>
    <tableColumn id="9" xr3:uid="{F73CB4C2-D2F1-4D7E-9EEF-1A8D6DB831D1}" name="RESULTADO mg CaCO3/l" dataDxfId="27" dataCellStyle="Porcentaje">
      <calculatedColumnFormula>IF(ISNA(VLOOKUP(Tabla3[[#This Row],[ID MUESTRA]],Tabla1[#All],14,FALSE)),"",VLOOKUP(Tabla3[[#This Row],[ID MUESTRA]],Tabla1[#All],14,FALSE))</calculatedColumnFormula>
    </tableColumn>
    <tableColumn id="10" xr3:uid="{D8BFD9C2-E82B-41F7-9368-E2C9237926CF}" name="R%" dataDxfId="26" dataCellStyle="Porcentaje">
      <calculatedColumnFormula>IF(AND(ISNUMBER(Tabla3[[#This Row],[VR. TEORICO mg CaCO3/l]]),ISNUMBER(Tabla3[[#This Row],[RESULTADO mg CaCO3/l]])),Tabla3[[#This Row],[RESULTADO mg CaCO3/l]]/Tabla3[[#This Row],[VR. TEORICO mg CaCO3/l]],"")</calculatedColumnFormula>
    </tableColumn>
    <tableColumn id="16" xr3:uid="{EA87423C-A91C-457D-998B-5F8506347733}" name="TRAZABILIDAD" dataDxfId="25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9D8543-B074-40D2-B9E6-469535AFEC90}" name="Tabla4" displayName="Tabla4" ref="A10:F15" totalsRowShown="0" headerRowDxfId="24" dataDxfId="23">
  <autoFilter ref="A10:F15" xr:uid="{B2C9D9CB-21BB-4F4B-B102-CFB8D60363AF}"/>
  <tableColumns count="6">
    <tableColumn id="1" xr3:uid="{7D81C7DF-65EA-49B2-80C4-172BB00CF00A}" name="CONTROL" dataDxfId="22"/>
    <tableColumn id="3" xr3:uid="{EDA58B9A-D8E3-41EE-A6C4-310C985A8DB8}" name="LCI" dataDxfId="21" dataCellStyle="Porcentaje"/>
    <tableColumn id="4" xr3:uid="{4CD2A2BF-5888-4779-BE69-7DB5CBD83F5D}" name="LAI" dataDxfId="20" dataCellStyle="Porcentaje"/>
    <tableColumn id="5" xr3:uid="{8891A57F-8E51-4958-A43E-FBB4739BEE44}" name="PROMEDIO" dataDxfId="19" dataCellStyle="Porcentaje"/>
    <tableColumn id="6" xr3:uid="{F1A08D80-D82D-473C-A236-2AD61B6C4D3B}" name="LAS" dataDxfId="18" dataCellStyle="Porcentaje"/>
    <tableColumn id="7" xr3:uid="{E64EFD21-DCA8-4DBD-AA2F-2ED3AC47971A}" name="LCS" dataDxfId="17" dataCellStyle="Porcentaj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832503-C8F4-4720-BA98-85BF4822593F}" name="Tabla13" displayName="Tabla13" ref="A6:D7" totalsRowShown="0" headerRowDxfId="16">
  <autoFilter ref="A6:D7" xr:uid="{560328CC-568C-4BAC-9051-C241CA09CD94}"/>
  <tableColumns count="4">
    <tableColumn id="1" xr3:uid="{70D10149-9171-4589-ABEF-F07940D0A7B9}" name="TIPO DE MUESTRA" dataDxfId="15"/>
    <tableColumn id="2" xr3:uid="{5E752892-2124-4F2F-BBB9-19056C44405B}" name="LC" dataDxfId="14" dataCellStyle="Porcentaje"/>
    <tableColumn id="3" xr3:uid="{E3A15AFF-71F8-48EF-B39B-E61A829250B8}" name="LA" dataDxfId="13" dataCellStyle="Porcentaje"/>
    <tableColumn id="4" xr3:uid="{464BA203-C99C-4F1F-A699-2E6DA3792CE4}" name="RPD% MEDIA" dataDxfId="12" dataCellStyle="Porcentaj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4948A0-DE1F-490B-B974-0E88989C011B}" name="RECUPERACION" displayName="RECUPERACION" ref="A6:H7" tableType="queryTable" totalsRowShown="0">
  <autoFilter ref="A6:H7" xr:uid="{D9C3651B-FC11-40F3-B605-A085A6470836}"/>
  <tableColumns count="8">
    <tableColumn id="1" xr3:uid="{9389D9A3-B29B-4CB2-8554-01CA072C661F}" uniqueName="1" name="ID MUESTRA" queryTableFieldId="1" dataDxfId="11"/>
    <tableColumn id="2" xr3:uid="{C92246C3-38BC-48D0-87F4-AA51E18A2FFC}" uniqueName="2" name="FECHA DE ANALISIS" queryTableFieldId="2" dataDxfId="10"/>
    <tableColumn id="10" xr3:uid="{68521954-867D-4A62-BB62-5A4A61AA0734}" uniqueName="10" name="R%" queryTableFieldId="23" dataDxfId="9" dataCellStyle="Porcentaje"/>
    <tableColumn id="17" xr3:uid="{162E2E29-4D40-4F75-ACFA-ABC5147589EB}" uniqueName="17" name="LCI" queryTableFieldId="29" dataDxfId="8" dataCellStyle="Porcentaje"/>
    <tableColumn id="18" xr3:uid="{513503E8-52A1-42D7-BE72-E6875EFAA849}" uniqueName="18" name="LAI" queryTableFieldId="30" dataDxfId="7" dataCellStyle="Porcentaje"/>
    <tableColumn id="19" xr3:uid="{79E2F574-A241-49B5-A44F-C9DE563170F3}" uniqueName="19" name="PROMEDIO" queryTableFieldId="31" dataDxfId="6" dataCellStyle="Porcentaje"/>
    <tableColumn id="20" xr3:uid="{E567BDE2-1942-4CCF-9B97-F1238FBF3A43}" uniqueName="20" name="LAS" queryTableFieldId="32" dataDxfId="5" dataCellStyle="Porcentaje"/>
    <tableColumn id="21" xr3:uid="{D01911C1-4DF6-4E4A-810C-880CD4179D66}" uniqueName="21" name="LCS" queryTableFieldId="33" dataDxfId="4" dataCellStyle="Porcentaje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8A1B75-ABFB-47A7-90DC-927F2A38826C}" name="PRECISION" displayName="PRECISION" ref="A6:G7" tableType="queryTable" totalsRowShown="0">
  <autoFilter ref="A6:G7" xr:uid="{9795BAE9-051F-44E2-93F5-C96EBA1CC4B8}"/>
  <tableColumns count="7">
    <tableColumn id="1" xr3:uid="{F47F49DF-07F9-45C5-8287-DFA42A5BF1A4}" uniqueName="1" name="ID MUESTRA" queryTableFieldId="1" dataDxfId="3"/>
    <tableColumn id="2" xr3:uid="{96C716CF-CED3-4683-B787-63A06E797AB4}" uniqueName="2" name="FECHA DE ANALISIS" queryTableFieldId="2" dataDxfId="2"/>
    <tableColumn id="3" xr3:uid="{441703F8-0B5F-4DCD-B6EA-13CB7AC3C827}" uniqueName="3" name="TIPO DE MUESTRA" queryTableFieldId="3" dataDxfId="1"/>
    <tableColumn id="4" xr3:uid="{F3812812-F65C-435D-BC72-089DEF98DE48}" uniqueName="4" name="ALCALINIDAD TOTAL_x000a_mg CaCO3/l" queryTableFieldId="21"/>
    <tableColumn id="5" xr3:uid="{00577C2F-4D5F-4D0A-9FDE-6D7397A0E40B}" uniqueName="5" name="ESTADO DEL RESULTADO" queryTableFieldId="22"/>
    <tableColumn id="8" xr3:uid="{8125B975-7E49-451E-8212-F13255BFFBD5}" uniqueName="8" name="DUPLICADOS.ALCALINIDAD TOTAL_x000a_mg CaCO3/l" queryTableFieldId="25"/>
    <tableColumn id="10" xr3:uid="{F6C4B932-1008-4A57-98A2-E702F84FDFDB}" uniqueName="10" name="RPD%" queryTableFieldId="27" dataDxfId="0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omments" Target="../comments3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D9D4-ADD6-4C4D-9481-E32A0094AF52}">
  <dimension ref="A1:K49"/>
  <sheetViews>
    <sheetView topLeftCell="A5" workbookViewId="0">
      <selection activeCell="A12" sqref="A12:G12"/>
    </sheetView>
  </sheetViews>
  <sheetFormatPr baseColWidth="10" defaultRowHeight="15" x14ac:dyDescent="0.25"/>
  <cols>
    <col min="1" max="3" width="11.42578125" style="131"/>
    <col min="4" max="4" width="14.5703125" style="131" customWidth="1"/>
    <col min="5" max="5" width="11.42578125" style="131"/>
    <col min="6" max="6" width="14.28515625" style="131" customWidth="1"/>
    <col min="7" max="7" width="30.28515625" style="131" customWidth="1"/>
    <col min="8" max="8" width="17" style="131" customWidth="1"/>
    <col min="9" max="16384" width="11.42578125" style="131"/>
  </cols>
  <sheetData>
    <row r="1" spans="1:11" ht="24.75" customHeight="1" x14ac:dyDescent="0.25">
      <c r="A1" s="157"/>
      <c r="B1" s="158"/>
      <c r="C1" s="159" t="s">
        <v>124</v>
      </c>
      <c r="D1" s="160"/>
      <c r="E1" s="160"/>
      <c r="F1" s="161"/>
      <c r="G1" s="129" t="s">
        <v>115</v>
      </c>
      <c r="H1" s="130" t="s">
        <v>125</v>
      </c>
    </row>
    <row r="2" spans="1:11" ht="20.25" customHeight="1" x14ac:dyDescent="0.25">
      <c r="A2" s="157"/>
      <c r="B2" s="158"/>
      <c r="C2" s="162"/>
      <c r="D2" s="163"/>
      <c r="E2" s="163"/>
      <c r="F2" s="164"/>
      <c r="G2" s="129" t="s">
        <v>116</v>
      </c>
      <c r="H2" s="130">
        <v>1</v>
      </c>
    </row>
    <row r="3" spans="1:11" ht="23.25" customHeight="1" x14ac:dyDescent="0.25">
      <c r="A3" s="157"/>
      <c r="B3" s="158"/>
      <c r="C3" s="165" t="s">
        <v>85</v>
      </c>
      <c r="D3" s="166"/>
      <c r="E3" s="166"/>
      <c r="F3" s="167"/>
      <c r="G3" s="132" t="s">
        <v>117</v>
      </c>
      <c r="H3" s="133">
        <v>43733</v>
      </c>
    </row>
    <row r="4" spans="1:11" x14ac:dyDescent="0.25">
      <c r="A4" s="134"/>
      <c r="B4" s="134"/>
      <c r="C4" s="134"/>
      <c r="D4" s="134"/>
      <c r="E4" s="134"/>
      <c r="F4" s="134"/>
      <c r="G4" s="134"/>
      <c r="H4" s="134"/>
    </row>
    <row r="5" spans="1:11" x14ac:dyDescent="0.25">
      <c r="A5" s="134"/>
      <c r="B5" s="134"/>
      <c r="C5" s="134"/>
      <c r="D5" s="134"/>
      <c r="E5" s="134"/>
      <c r="F5" s="134"/>
      <c r="G5" s="134"/>
      <c r="H5" s="134"/>
    </row>
    <row r="6" spans="1:11" x14ac:dyDescent="0.25">
      <c r="A6" s="134"/>
      <c r="B6" s="134"/>
      <c r="C6" s="134"/>
      <c r="D6" s="134"/>
      <c r="E6" s="134"/>
      <c r="F6" s="134"/>
      <c r="G6" s="134"/>
      <c r="H6" s="134"/>
    </row>
    <row r="7" spans="1:11" x14ac:dyDescent="0.25">
      <c r="A7" s="134"/>
      <c r="B7" s="134"/>
      <c r="C7" s="134"/>
      <c r="D7" s="134"/>
      <c r="E7" s="134"/>
      <c r="F7" s="134"/>
      <c r="G7" s="134"/>
      <c r="H7" s="134"/>
    </row>
    <row r="8" spans="1:11" ht="20.25" x14ac:dyDescent="0.25">
      <c r="A8" s="169" t="s">
        <v>86</v>
      </c>
      <c r="B8" s="169"/>
      <c r="C8" s="169"/>
      <c r="D8" s="169"/>
      <c r="E8" s="169"/>
      <c r="F8" s="169"/>
      <c r="G8" s="169"/>
      <c r="H8" s="134"/>
    </row>
    <row r="9" spans="1:11" ht="18" hidden="1" x14ac:dyDescent="0.25">
      <c r="A9" s="135" t="str">
        <f>H1</f>
        <v>SOFT-TC-050</v>
      </c>
      <c r="B9" s="135" t="str">
        <f>C1</f>
        <v>Cuadro de mando para la determinación de alcalinidad en agua</v>
      </c>
      <c r="C9" s="135"/>
      <c r="D9" s="135"/>
      <c r="E9" s="135"/>
      <c r="F9" s="135"/>
      <c r="G9" s="135"/>
      <c r="H9" s="134"/>
    </row>
    <row r="10" spans="1:11" ht="15" customHeight="1" x14ac:dyDescent="0.25">
      <c r="A10" s="168" t="str">
        <f>A9 &amp;" " &amp;B9</f>
        <v>SOFT-TC-050 Cuadro de mando para la determinación de alcalinidad en agua</v>
      </c>
      <c r="B10" s="168"/>
      <c r="C10" s="168"/>
      <c r="D10" s="168"/>
      <c r="E10" s="168"/>
      <c r="F10" s="168"/>
      <c r="G10" s="168"/>
      <c r="H10" s="168"/>
    </row>
    <row r="11" spans="1:11" ht="15" customHeight="1" x14ac:dyDescent="0.25">
      <c r="A11" s="136"/>
      <c r="B11" s="136"/>
      <c r="C11" s="136"/>
      <c r="D11" s="136"/>
      <c r="E11" s="136"/>
      <c r="F11" s="136"/>
      <c r="G11" s="136"/>
      <c r="H11" s="136"/>
    </row>
    <row r="12" spans="1:11" ht="15.75" x14ac:dyDescent="0.25">
      <c r="A12" s="170" t="s">
        <v>87</v>
      </c>
      <c r="B12" s="170"/>
      <c r="C12" s="170"/>
      <c r="D12" s="170"/>
      <c r="E12" s="170"/>
      <c r="F12" s="170"/>
      <c r="G12" s="170"/>
      <c r="H12" s="134"/>
      <c r="K12" s="137"/>
    </row>
    <row r="13" spans="1:11" x14ac:dyDescent="0.25">
      <c r="A13" s="134"/>
      <c r="B13" s="134"/>
      <c r="C13" s="134"/>
      <c r="D13" s="134"/>
      <c r="E13" s="134"/>
      <c r="F13" s="134"/>
      <c r="G13" s="134"/>
      <c r="H13" s="134"/>
    </row>
    <row r="14" spans="1:11" x14ac:dyDescent="0.25">
      <c r="A14" s="134"/>
      <c r="B14" s="138"/>
      <c r="C14" s="171" t="s">
        <v>88</v>
      </c>
      <c r="D14" s="172"/>
      <c r="E14" s="171" t="s">
        <v>89</v>
      </c>
      <c r="F14" s="172"/>
      <c r="G14" s="139" t="s">
        <v>90</v>
      </c>
      <c r="H14" s="139" t="s">
        <v>91</v>
      </c>
    </row>
    <row r="15" spans="1:11" ht="29.25" customHeight="1" x14ac:dyDescent="0.25">
      <c r="B15" s="138" t="s">
        <v>92</v>
      </c>
      <c r="C15" s="173" t="s">
        <v>93</v>
      </c>
      <c r="D15" s="174"/>
      <c r="E15" s="173" t="s">
        <v>94</v>
      </c>
      <c r="F15" s="174"/>
      <c r="G15" s="139"/>
      <c r="H15" s="140">
        <f>H3-7</f>
        <v>43726</v>
      </c>
    </row>
    <row r="16" spans="1:11" ht="28.5" customHeight="1" x14ac:dyDescent="0.25">
      <c r="B16" s="138" t="s">
        <v>95</v>
      </c>
      <c r="C16" s="173" t="s">
        <v>96</v>
      </c>
      <c r="D16" s="174"/>
      <c r="E16" s="173" t="s">
        <v>97</v>
      </c>
      <c r="F16" s="174"/>
      <c r="G16" s="139"/>
      <c r="H16" s="140">
        <f>H3</f>
        <v>43733</v>
      </c>
    </row>
    <row r="17" spans="1:8" ht="32.25" customHeight="1" x14ac:dyDescent="0.25">
      <c r="B17" s="138" t="s">
        <v>98</v>
      </c>
      <c r="C17" s="173" t="s">
        <v>96</v>
      </c>
      <c r="D17" s="174"/>
      <c r="E17" s="173" t="s">
        <v>97</v>
      </c>
      <c r="F17" s="174"/>
      <c r="G17" s="139"/>
      <c r="H17" s="140">
        <v>43733</v>
      </c>
    </row>
    <row r="18" spans="1:8" x14ac:dyDescent="0.25">
      <c r="B18" s="179" t="s">
        <v>99</v>
      </c>
      <c r="C18" s="180"/>
      <c r="D18" s="181"/>
      <c r="E18" s="182" t="s">
        <v>100</v>
      </c>
      <c r="F18" s="183"/>
      <c r="G18" s="183"/>
      <c r="H18" s="172"/>
    </row>
    <row r="19" spans="1:8" x14ac:dyDescent="0.25">
      <c r="H19" s="134"/>
    </row>
    <row r="20" spans="1:8" x14ac:dyDescent="0.25">
      <c r="A20" s="134"/>
      <c r="B20" s="134"/>
      <c r="C20" s="134"/>
      <c r="D20" s="134"/>
      <c r="E20" s="134"/>
      <c r="F20" s="134"/>
      <c r="G20" s="134"/>
      <c r="H20" s="134"/>
    </row>
    <row r="21" spans="1:8" x14ac:dyDescent="0.25">
      <c r="A21" s="134"/>
      <c r="B21" s="134"/>
      <c r="C21" s="134"/>
      <c r="D21" s="134"/>
      <c r="E21" s="134"/>
      <c r="F21" s="134"/>
      <c r="G21" s="134"/>
      <c r="H21" s="134"/>
    </row>
    <row r="22" spans="1:8" ht="15.75" x14ac:dyDescent="0.25">
      <c r="A22" s="184" t="s">
        <v>101</v>
      </c>
      <c r="B22" s="184"/>
      <c r="C22" s="184"/>
      <c r="D22" s="184"/>
      <c r="E22" s="184"/>
      <c r="F22" s="184"/>
      <c r="G22" s="184"/>
      <c r="H22" s="184"/>
    </row>
    <row r="23" spans="1:8" x14ac:dyDescent="0.25">
      <c r="A23" s="134"/>
      <c r="B23" s="134"/>
      <c r="C23" s="134"/>
      <c r="D23" s="134"/>
      <c r="E23" s="134"/>
      <c r="F23" s="134"/>
      <c r="G23" s="134"/>
      <c r="H23" s="134"/>
    </row>
    <row r="24" spans="1:8" x14ac:dyDescent="0.25">
      <c r="B24" s="185" t="s">
        <v>102</v>
      </c>
      <c r="C24" s="185" t="s">
        <v>103</v>
      </c>
      <c r="D24" s="185" t="s">
        <v>104</v>
      </c>
      <c r="E24" s="185" t="s">
        <v>105</v>
      </c>
      <c r="F24" s="185" t="s">
        <v>106</v>
      </c>
      <c r="G24" s="185" t="s">
        <v>107</v>
      </c>
      <c r="H24" s="185" t="s">
        <v>108</v>
      </c>
    </row>
    <row r="25" spans="1:8" ht="23.25" customHeight="1" x14ac:dyDescent="0.25">
      <c r="B25" s="186"/>
      <c r="C25" s="186"/>
      <c r="D25" s="186"/>
      <c r="E25" s="186"/>
      <c r="F25" s="186"/>
      <c r="G25" s="186"/>
      <c r="H25" s="186"/>
    </row>
    <row r="26" spans="1:8" ht="36" x14ac:dyDescent="0.25">
      <c r="B26" s="141" t="s">
        <v>109</v>
      </c>
      <c r="C26" s="142">
        <f>H17</f>
        <v>43733</v>
      </c>
      <c r="D26" s="141">
        <v>1</v>
      </c>
      <c r="E26" s="141" t="s">
        <v>110</v>
      </c>
      <c r="F26" s="141" t="s">
        <v>120</v>
      </c>
      <c r="G26" s="141" t="s">
        <v>111</v>
      </c>
      <c r="H26" s="141" t="s">
        <v>111</v>
      </c>
    </row>
    <row r="27" spans="1:8" x14ac:dyDescent="0.25">
      <c r="B27" s="143"/>
      <c r="C27" s="144"/>
      <c r="D27" s="143"/>
      <c r="E27" s="145"/>
      <c r="F27" s="143"/>
      <c r="G27" s="141"/>
      <c r="H27" s="146"/>
    </row>
    <row r="28" spans="1:8" x14ac:dyDescent="0.25">
      <c r="B28" s="147"/>
      <c r="C28" s="147"/>
      <c r="D28" s="147"/>
      <c r="E28" s="148"/>
      <c r="F28" s="147"/>
      <c r="G28" s="147"/>
      <c r="H28" s="147"/>
    </row>
    <row r="29" spans="1:8" x14ac:dyDescent="0.25">
      <c r="B29" s="143"/>
      <c r="C29" s="143"/>
      <c r="D29" s="143"/>
      <c r="E29" s="145"/>
      <c r="F29" s="143"/>
      <c r="G29" s="143"/>
      <c r="H29" s="143"/>
    </row>
    <row r="30" spans="1:8" x14ac:dyDescent="0.25">
      <c r="B30" s="143"/>
      <c r="C30" s="143"/>
      <c r="D30" s="143"/>
      <c r="E30" s="145"/>
      <c r="F30" s="143"/>
      <c r="G30" s="143"/>
      <c r="H30" s="143"/>
    </row>
    <row r="31" spans="1:8" x14ac:dyDescent="0.25">
      <c r="B31" s="143"/>
      <c r="C31" s="143"/>
      <c r="D31" s="143"/>
      <c r="E31" s="145"/>
      <c r="F31" s="143"/>
      <c r="G31" s="143"/>
      <c r="H31" s="143"/>
    </row>
    <row r="32" spans="1:8" x14ac:dyDescent="0.25">
      <c r="B32" s="143"/>
      <c r="C32" s="143"/>
      <c r="D32" s="143"/>
      <c r="E32" s="145"/>
      <c r="F32" s="143"/>
      <c r="G32" s="143"/>
      <c r="H32" s="143"/>
    </row>
    <row r="33" spans="1:8" x14ac:dyDescent="0.25">
      <c r="B33" s="143"/>
      <c r="C33" s="143"/>
      <c r="D33" s="143"/>
      <c r="E33" s="145"/>
      <c r="F33" s="143"/>
      <c r="G33" s="143"/>
      <c r="H33" s="143"/>
    </row>
    <row r="34" spans="1:8" x14ac:dyDescent="0.25">
      <c r="B34" s="143"/>
      <c r="C34" s="143"/>
      <c r="D34" s="143"/>
      <c r="E34" s="145"/>
      <c r="F34" s="143"/>
      <c r="G34" s="143"/>
      <c r="H34" s="143"/>
    </row>
    <row r="35" spans="1:8" x14ac:dyDescent="0.25">
      <c r="B35" s="143"/>
      <c r="C35" s="143"/>
      <c r="D35" s="143"/>
      <c r="E35" s="145"/>
      <c r="F35" s="143"/>
      <c r="G35" s="143"/>
      <c r="H35" s="143"/>
    </row>
    <row r="36" spans="1:8" x14ac:dyDescent="0.25">
      <c r="B36" s="143"/>
      <c r="C36" s="143"/>
      <c r="D36" s="143"/>
      <c r="E36" s="145"/>
      <c r="F36" s="143"/>
      <c r="G36" s="143"/>
      <c r="H36" s="143"/>
    </row>
    <row r="37" spans="1:8" x14ac:dyDescent="0.25">
      <c r="B37" s="143"/>
      <c r="C37" s="143"/>
      <c r="D37" s="143"/>
      <c r="E37" s="145"/>
      <c r="F37" s="143"/>
      <c r="G37" s="143"/>
      <c r="H37" s="143"/>
    </row>
    <row r="38" spans="1:8" x14ac:dyDescent="0.25">
      <c r="B38" s="143"/>
      <c r="C38" s="143"/>
      <c r="D38" s="143"/>
      <c r="E38" s="145"/>
      <c r="F38" s="143"/>
      <c r="G38" s="143"/>
      <c r="H38" s="143"/>
    </row>
    <row r="39" spans="1:8" x14ac:dyDescent="0.25">
      <c r="A39" s="134"/>
      <c r="B39" s="134"/>
      <c r="C39" s="134"/>
      <c r="D39" s="134"/>
      <c r="E39" s="134"/>
      <c r="F39" s="134"/>
      <c r="G39" s="134"/>
      <c r="H39" s="134"/>
    </row>
    <row r="40" spans="1:8" x14ac:dyDescent="0.25">
      <c r="A40" s="134"/>
      <c r="B40" s="134"/>
      <c r="C40" s="134"/>
      <c r="D40" s="134"/>
      <c r="E40" s="134"/>
      <c r="F40" s="134"/>
      <c r="G40" s="134"/>
      <c r="H40" s="134"/>
    </row>
    <row r="41" spans="1:8" x14ac:dyDescent="0.25">
      <c r="A41" s="134"/>
      <c r="B41" s="134"/>
      <c r="C41" s="134"/>
      <c r="D41" s="134"/>
      <c r="E41" s="134"/>
      <c r="F41" s="134"/>
      <c r="G41" s="134"/>
      <c r="H41" s="134"/>
    </row>
    <row r="42" spans="1:8" x14ac:dyDescent="0.25">
      <c r="A42" s="134"/>
      <c r="B42" s="134"/>
      <c r="C42" s="134"/>
      <c r="D42" s="134"/>
      <c r="E42" s="134"/>
      <c r="F42" s="134"/>
      <c r="G42" s="134"/>
      <c r="H42" s="134"/>
    </row>
    <row r="43" spans="1:8" x14ac:dyDescent="0.25">
      <c r="A43" s="134"/>
      <c r="B43" s="134"/>
      <c r="C43" s="134"/>
      <c r="D43" s="134"/>
      <c r="E43" s="134"/>
      <c r="F43" s="134"/>
      <c r="G43" s="134"/>
      <c r="H43" s="134"/>
    </row>
    <row r="44" spans="1:8" x14ac:dyDescent="0.25">
      <c r="A44" s="134"/>
      <c r="B44" s="134"/>
      <c r="C44" s="134"/>
      <c r="D44" s="134"/>
      <c r="E44" s="134"/>
      <c r="F44" s="134"/>
      <c r="G44" s="134"/>
      <c r="H44" s="134"/>
    </row>
    <row r="45" spans="1:8" x14ac:dyDescent="0.25">
      <c r="A45" s="175" t="s">
        <v>112</v>
      </c>
      <c r="B45" s="175"/>
      <c r="C45" s="175"/>
      <c r="D45" s="175"/>
      <c r="E45" s="175"/>
      <c r="F45" s="176" t="s">
        <v>113</v>
      </c>
      <c r="G45" s="176"/>
      <c r="H45" s="134"/>
    </row>
    <row r="46" spans="1:8" x14ac:dyDescent="0.25">
      <c r="B46" s="149"/>
      <c r="C46" s="149"/>
      <c r="D46" s="149"/>
      <c r="E46" s="149"/>
      <c r="F46" s="149"/>
      <c r="G46" s="149"/>
      <c r="H46" s="149"/>
    </row>
    <row r="47" spans="1:8" x14ac:dyDescent="0.25">
      <c r="B47" s="149"/>
      <c r="C47" s="149"/>
      <c r="D47" s="149"/>
      <c r="E47" s="149"/>
      <c r="F47" s="149"/>
      <c r="G47" s="149"/>
      <c r="H47" s="149"/>
    </row>
    <row r="48" spans="1:8" x14ac:dyDescent="0.25">
      <c r="B48" s="149"/>
      <c r="C48" s="149"/>
      <c r="D48" s="149"/>
      <c r="E48" s="149"/>
      <c r="F48" s="149"/>
      <c r="G48" s="149"/>
      <c r="H48" s="149"/>
    </row>
    <row r="49" spans="2:8" x14ac:dyDescent="0.25">
      <c r="B49" s="177" t="s">
        <v>114</v>
      </c>
      <c r="C49" s="177"/>
      <c r="D49" s="177"/>
      <c r="E49" s="177"/>
      <c r="F49" s="177"/>
      <c r="G49" s="178" t="s">
        <v>113</v>
      </c>
      <c r="H49" s="178"/>
    </row>
  </sheetData>
  <sheetProtection algorithmName="SHA-512" hashValue="UXo/yBnSIxt3y3g3tOYMo3lCSGrkRymTP3nhO/e4TvKMWnKyru2KVcMFrfBgvTMvpXUMuEwdCJaQeTG7XrtmZw==" saltValue="BsvxMsiP3Ab+iEykCkVL8g==" spinCount="100000" sheet="1" objects="1" scenarios="1" selectLockedCells="1" selectUnlockedCells="1"/>
  <mergeCells count="28"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  <mergeCell ref="C16:D16"/>
    <mergeCell ref="E16:F16"/>
    <mergeCell ref="C17:D17"/>
    <mergeCell ref="E17:F17"/>
    <mergeCell ref="A45:E45"/>
    <mergeCell ref="F45:G45"/>
    <mergeCell ref="A12:G12"/>
    <mergeCell ref="C14:D14"/>
    <mergeCell ref="E14:F14"/>
    <mergeCell ref="C15:D15"/>
    <mergeCell ref="E15:F15"/>
    <mergeCell ref="A1:B3"/>
    <mergeCell ref="C1:F2"/>
    <mergeCell ref="C3:F3"/>
    <mergeCell ref="A10:H10"/>
    <mergeCell ref="A8:G8"/>
  </mergeCells>
  <hyperlinks>
    <hyperlink ref="E18" r:id="rId1" xr:uid="{40BFB0DC-16C8-471B-9209-5490FA95C9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41"/>
  <sheetViews>
    <sheetView tabSelected="1" zoomScaleNormal="100" workbookViewId="0">
      <selection activeCell="N20" sqref="N20"/>
    </sheetView>
  </sheetViews>
  <sheetFormatPr baseColWidth="10" defaultRowHeight="15" x14ac:dyDescent="0.25"/>
  <cols>
    <col min="1" max="1" width="20.28515625" customWidth="1"/>
    <col min="2" max="2" width="19" customWidth="1"/>
    <col min="3" max="3" width="26.5703125" customWidth="1"/>
    <col min="4" max="4" width="30.5703125" customWidth="1"/>
    <col min="5" max="5" width="19.5703125" customWidth="1"/>
    <col min="6" max="7" width="26" customWidth="1"/>
    <col min="8" max="8" width="35" customWidth="1"/>
    <col min="9" max="9" width="17.28515625" customWidth="1"/>
    <col min="10" max="12" width="26.42578125" customWidth="1"/>
    <col min="13" max="13" width="21.7109375" customWidth="1"/>
    <col min="14" max="14" width="21.42578125" customWidth="1"/>
    <col min="15" max="15" width="24" customWidth="1"/>
    <col min="16" max="16" width="30.5703125" customWidth="1"/>
    <col min="17" max="17" width="20.140625" customWidth="1"/>
    <col min="18" max="18" width="20.28515625" customWidth="1"/>
    <col min="19" max="19" width="31.140625" customWidth="1"/>
    <col min="20" max="20" width="11.140625" customWidth="1"/>
    <col min="21" max="22" width="8.85546875" customWidth="1"/>
    <col min="24" max="24" width="12" bestFit="1" customWidth="1"/>
    <col min="27" max="27" width="10" customWidth="1"/>
  </cols>
  <sheetData>
    <row r="1" spans="1:44" ht="24.75" customHeight="1" x14ac:dyDescent="0.25">
      <c r="A1" s="188"/>
      <c r="B1" s="189"/>
      <c r="C1" s="190" t="str">
        <f>control!C1</f>
        <v>Cuadro de mando para la determinación de alcalinidad en agua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82" t="s">
        <v>115</v>
      </c>
      <c r="Q1" s="84" t="str">
        <f>control!H1</f>
        <v>SOFT-TC-050</v>
      </c>
    </row>
    <row r="2" spans="1:44" ht="20.25" customHeight="1" x14ac:dyDescent="0.25">
      <c r="A2" s="188"/>
      <c r="B2" s="189"/>
      <c r="C2" s="190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82" t="s">
        <v>116</v>
      </c>
      <c r="Q2" s="84">
        <f>control!H2</f>
        <v>1</v>
      </c>
    </row>
    <row r="3" spans="1:44" ht="23.25" customHeight="1" x14ac:dyDescent="0.25">
      <c r="A3" s="188"/>
      <c r="B3" s="189"/>
      <c r="C3" s="193" t="s">
        <v>85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83" t="s">
        <v>117</v>
      </c>
      <c r="Q3" s="85">
        <f>control!H3</f>
        <v>43733</v>
      </c>
    </row>
    <row r="4" spans="1:44" ht="21" thickBot="1" x14ac:dyDescent="0.35">
      <c r="A4" s="111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9.5" thickBot="1" x14ac:dyDescent="0.35">
      <c r="A5" s="198" t="s">
        <v>0</v>
      </c>
      <c r="B5" s="199"/>
      <c r="C5" s="112" t="s">
        <v>149</v>
      </c>
      <c r="D5" s="199" t="s">
        <v>68</v>
      </c>
      <c r="E5" s="199"/>
      <c r="F5" s="113" t="s">
        <v>150</v>
      </c>
      <c r="G5" s="197" t="s">
        <v>69</v>
      </c>
      <c r="H5" s="197"/>
      <c r="I5" s="114" t="s">
        <v>5</v>
      </c>
      <c r="J5" s="187" t="s">
        <v>151</v>
      </c>
      <c r="K5" s="187"/>
      <c r="L5" s="115">
        <v>0</v>
      </c>
      <c r="M5" s="14"/>
      <c r="N5" s="14"/>
    </row>
    <row r="7" spans="1:44" hidden="1" x14ac:dyDescent="0.25">
      <c r="F7" t="s">
        <v>67</v>
      </c>
    </row>
    <row r="8" spans="1:44" hidden="1" x14ac:dyDescent="0.25">
      <c r="A8" s="20" t="s">
        <v>18</v>
      </c>
      <c r="B8" s="20"/>
      <c r="C8" s="20"/>
      <c r="F8" t="s">
        <v>82</v>
      </c>
    </row>
    <row r="9" spans="1:44" ht="15.75" hidden="1" thickBot="1" x14ac:dyDescent="0.3">
      <c r="A9" s="20" t="s">
        <v>6</v>
      </c>
      <c r="B9" s="21" t="e">
        <f>#REF!</f>
        <v>#REF!</v>
      </c>
      <c r="F9" s="20" t="s">
        <v>71</v>
      </c>
      <c r="G9" s="53" t="e">
        <f>#REF!</f>
        <v>#REF!</v>
      </c>
    </row>
    <row r="10" spans="1:44" hidden="1" x14ac:dyDescent="0.25">
      <c r="A10" s="12" t="s">
        <v>10</v>
      </c>
      <c r="B10" s="15" t="s">
        <v>11</v>
      </c>
      <c r="C10" s="13" t="s">
        <v>9</v>
      </c>
      <c r="F10" s="12" t="s">
        <v>72</v>
      </c>
      <c r="G10" s="15" t="s">
        <v>73</v>
      </c>
      <c r="H10" s="13" t="s">
        <v>9</v>
      </c>
    </row>
    <row r="11" spans="1:44" hidden="1" x14ac:dyDescent="0.25">
      <c r="A11" s="5">
        <v>10</v>
      </c>
      <c r="B11" s="3">
        <v>0</v>
      </c>
      <c r="C11" s="18">
        <v>43313</v>
      </c>
      <c r="F11" s="5">
        <v>20</v>
      </c>
      <c r="G11" s="54">
        <v>0</v>
      </c>
      <c r="H11" s="18">
        <v>43291</v>
      </c>
      <c r="I11" s="56"/>
    </row>
    <row r="12" spans="1:44" hidden="1" x14ac:dyDescent="0.25">
      <c r="A12" s="5">
        <v>100</v>
      </c>
      <c r="B12" s="3">
        <v>0</v>
      </c>
      <c r="C12" s="18">
        <v>43313</v>
      </c>
      <c r="F12" s="5">
        <v>10</v>
      </c>
      <c r="G12" s="54">
        <v>0</v>
      </c>
      <c r="H12" s="18">
        <v>43291</v>
      </c>
    </row>
    <row r="13" spans="1:44" ht="15.75" hidden="1" thickBot="1" x14ac:dyDescent="0.3">
      <c r="A13" s="7">
        <v>200</v>
      </c>
      <c r="B13" s="2">
        <v>0</v>
      </c>
      <c r="C13" s="19">
        <v>43313</v>
      </c>
      <c r="F13" s="7">
        <v>200</v>
      </c>
      <c r="G13" s="55">
        <v>0</v>
      </c>
      <c r="H13" s="19">
        <v>43291</v>
      </c>
    </row>
    <row r="14" spans="1:44" hidden="1" x14ac:dyDescent="0.25">
      <c r="A14" s="17" t="s">
        <v>12</v>
      </c>
      <c r="B14" s="16">
        <f>SLOPE(B11:B13,A11:A13)</f>
        <v>0</v>
      </c>
      <c r="F14" s="17" t="s">
        <v>12</v>
      </c>
      <c r="G14" s="16">
        <f>SLOPE(G11:G13,F11:F13)</f>
        <v>0</v>
      </c>
    </row>
    <row r="15" spans="1:44" ht="15.75" hidden="1" thickBot="1" x14ac:dyDescent="0.3">
      <c r="A15" s="11" t="s">
        <v>13</v>
      </c>
      <c r="B15" s="6">
        <f>INTERCEPT(B11:B13,A11:A13)</f>
        <v>0</v>
      </c>
      <c r="F15" s="11" t="s">
        <v>13</v>
      </c>
      <c r="G15" s="6">
        <f>INTERCEPT(G11:G13,F11:F13)</f>
        <v>0</v>
      </c>
    </row>
    <row r="16" spans="1:44" hidden="1" x14ac:dyDescent="0.25"/>
    <row r="17" spans="1:19" ht="18" x14ac:dyDescent="0.25">
      <c r="A17" s="200" t="s">
        <v>3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</row>
    <row r="18" spans="1:19" ht="15.75" thickBot="1" x14ac:dyDescent="0.3">
      <c r="A18" s="196" t="s">
        <v>61</v>
      </c>
      <c r="B18" s="196"/>
      <c r="C18" s="196"/>
      <c r="D18" s="67"/>
      <c r="E18" s="196" t="s">
        <v>4</v>
      </c>
      <c r="F18" s="196"/>
      <c r="G18" s="196"/>
      <c r="H18" s="196"/>
      <c r="I18" s="196"/>
      <c r="J18" s="196"/>
      <c r="K18" s="68"/>
      <c r="L18" s="68"/>
      <c r="M18" s="116"/>
      <c r="N18" s="117"/>
      <c r="O18" s="117"/>
      <c r="P18" s="117"/>
      <c r="Q18" s="117"/>
      <c r="R18" s="14"/>
      <c r="S18" s="14"/>
    </row>
    <row r="19" spans="1:19" ht="30" x14ac:dyDescent="0.25">
      <c r="A19" s="118" t="s">
        <v>8</v>
      </c>
      <c r="B19" s="119" t="s">
        <v>2</v>
      </c>
      <c r="C19" s="119" t="s">
        <v>62</v>
      </c>
      <c r="D19" s="119" t="s">
        <v>126</v>
      </c>
      <c r="E19" s="119" t="s">
        <v>156</v>
      </c>
      <c r="F19" s="119" t="s">
        <v>134</v>
      </c>
      <c r="G19" s="119" t="s">
        <v>137</v>
      </c>
      <c r="H19" s="119" t="s">
        <v>127</v>
      </c>
      <c r="I19" s="119" t="s">
        <v>128</v>
      </c>
      <c r="J19" s="119" t="s">
        <v>131</v>
      </c>
      <c r="K19" s="119" t="s">
        <v>129</v>
      </c>
      <c r="L19" s="119" t="s">
        <v>130</v>
      </c>
      <c r="M19" s="119" t="s">
        <v>132</v>
      </c>
      <c r="N19" s="119" t="s">
        <v>135</v>
      </c>
      <c r="O19" s="120" t="s">
        <v>1</v>
      </c>
      <c r="P19" s="120" t="s">
        <v>133</v>
      </c>
      <c r="Q19" s="69" t="s">
        <v>66</v>
      </c>
      <c r="R19" s="70" t="s">
        <v>16</v>
      </c>
      <c r="S19" s="71" t="s">
        <v>70</v>
      </c>
    </row>
    <row r="20" spans="1:19" x14ac:dyDescent="0.25">
      <c r="A20" s="72" t="s">
        <v>136</v>
      </c>
      <c r="B20" s="73">
        <v>43727</v>
      </c>
      <c r="C20" s="73" t="s">
        <v>64</v>
      </c>
      <c r="D20" s="106">
        <v>50</v>
      </c>
      <c r="E20" s="107">
        <v>2.1700000000000001E-2</v>
      </c>
      <c r="F20" s="151">
        <v>5.4</v>
      </c>
      <c r="G20" s="152">
        <f>IF(ISBLANK(Tabla1[[#This Row],[VOL. INICIAL (ml)]])=TRUE,"",Tabla1[[#This Row],[VOL. INICIAL (ml)]]+($G$14*Tabla1[[#This Row],[VOL. INICIAL (ml)]]+G$15))</f>
        <v>5.4</v>
      </c>
      <c r="H20" s="153">
        <v>5.9</v>
      </c>
      <c r="I20" s="154">
        <f>IF(ISBLANK(Tabla1[[#This Row],[VOLUMEN 1 (ml)]])=TRUE,"",Tabla1[[#This Row],[VOLUMEN 1 (ml)]]+($G$14*Tabla1[[#This Row],[VOLUMEN 1 (ml)]]+G$15))</f>
        <v>5.9</v>
      </c>
      <c r="J20" s="122">
        <v>4.4930000000000003</v>
      </c>
      <c r="K20" s="155">
        <v>6</v>
      </c>
      <c r="L20" s="156">
        <f>IF(ISBLANK(Tabla1[[#This Row],[VOLUMEN 2 (ml)]])=TRUE,"",Tabla1[[#This Row],[VOLUMEN 2 (ml)]]+($G$14*Tabla1[[#This Row],[VOLUMEN 2 (ml)]]+G$15))</f>
        <v>6</v>
      </c>
      <c r="M20" s="108">
        <v>4.1890000000000001</v>
      </c>
      <c r="N20" s="123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>19.530000000000008</v>
      </c>
      <c r="O20" s="76"/>
      <c r="P20" s="76"/>
      <c r="Q20" s="76" t="s">
        <v>67</v>
      </c>
      <c r="R20" s="99"/>
      <c r="S20" s="100"/>
    </row>
    <row r="21" spans="1:19" x14ac:dyDescent="0.25">
      <c r="A21" s="72" t="s">
        <v>136</v>
      </c>
      <c r="B21" s="73">
        <v>43727</v>
      </c>
      <c r="C21" s="73" t="s">
        <v>65</v>
      </c>
      <c r="D21" s="106">
        <v>50</v>
      </c>
      <c r="E21" s="107">
        <v>2.1700000000000001E-2</v>
      </c>
      <c r="F21" s="151">
        <v>6</v>
      </c>
      <c r="G21" s="152">
        <f>IF(ISBLANK(Tabla1[[#This Row],[VOL. INICIAL (ml)]])=TRUE,"",Tabla1[[#This Row],[VOL. INICIAL (ml)]]+($G$14*Tabla1[[#This Row],[VOL. INICIAL (ml)]]+G$15))</f>
        <v>6</v>
      </c>
      <c r="H21" s="153">
        <v>6.5</v>
      </c>
      <c r="I21" s="154">
        <f>IF(ISBLANK(Tabla1[[#This Row],[VOLUMEN 1 (ml)]])=TRUE,"",Tabla1[[#This Row],[VOLUMEN 1 (ml)]]+($G$14*Tabla1[[#This Row],[VOLUMEN 1 (ml)]]+G$15))</f>
        <v>6.5</v>
      </c>
      <c r="J21" s="122">
        <v>4.51</v>
      </c>
      <c r="K21" s="155">
        <v>6.6</v>
      </c>
      <c r="L21" s="156">
        <f>IF(ISBLANK(Tabla1[[#This Row],[VOLUMEN 2 (ml)]])=TRUE,"",Tabla1[[#This Row],[VOLUMEN 2 (ml)]]+($G$14*Tabla1[[#This Row],[VOLUMEN 2 (ml)]]+G$15))</f>
        <v>6.6</v>
      </c>
      <c r="M21" s="108">
        <v>4.2149999999999999</v>
      </c>
      <c r="N21" s="123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>19.530000000000008</v>
      </c>
      <c r="O21" s="76"/>
      <c r="P21" s="76"/>
      <c r="Q21" s="76" t="s">
        <v>67</v>
      </c>
      <c r="R21" s="99"/>
      <c r="S21" s="100"/>
    </row>
    <row r="22" spans="1:19" x14ac:dyDescent="0.25">
      <c r="A22" s="72" t="s">
        <v>122</v>
      </c>
      <c r="B22" s="98">
        <v>43727</v>
      </c>
      <c r="C22" s="98" t="s">
        <v>139</v>
      </c>
      <c r="D22" s="106">
        <v>200</v>
      </c>
      <c r="E22" s="107">
        <v>0.02</v>
      </c>
      <c r="F22" s="151">
        <v>0</v>
      </c>
      <c r="G22" s="152">
        <f>IF(ISBLANK(Tabla1[[#This Row],[VOL. INICIAL (ml)]])=TRUE,"",Tabla1[[#This Row],[VOL. INICIAL (ml)]]+($G$14*Tabla1[[#This Row],[VOL. INICIAL (ml)]]+G$15))</f>
        <v>0</v>
      </c>
      <c r="H22" s="153">
        <v>1</v>
      </c>
      <c r="I22" s="154">
        <f>IF(ISBLANK(Tabla1[[#This Row],[VOLUMEN 1 (ml)]])=TRUE,"",Tabla1[[#This Row],[VOLUMEN 1 (ml)]]+($G$14*Tabla1[[#This Row],[VOLUMEN 1 (ml)]]+G$15))</f>
        <v>1</v>
      </c>
      <c r="J22" s="122">
        <v>4.51</v>
      </c>
      <c r="K22" s="155">
        <v>1</v>
      </c>
      <c r="L22" s="156">
        <f>IF(ISBLANK(Tabla1[[#This Row],[VOLUMEN 2 (ml)]])=TRUE,"",Tabla1[[#This Row],[VOLUMEN 2 (ml)]]+($G$14*Tabla1[[#This Row],[VOLUMEN 2 (ml)]]+G$15))</f>
        <v>1</v>
      </c>
      <c r="M22" s="108">
        <v>4.2149999999999999</v>
      </c>
      <c r="N22" s="123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>10</v>
      </c>
      <c r="O22" s="76"/>
      <c r="P22" s="76"/>
      <c r="Q22" s="76" t="s">
        <v>67</v>
      </c>
      <c r="R22" s="99"/>
      <c r="S22" s="100"/>
    </row>
    <row r="23" spans="1:19" x14ac:dyDescent="0.25">
      <c r="A23" s="72" t="s">
        <v>152</v>
      </c>
      <c r="B23" s="98">
        <v>43741</v>
      </c>
      <c r="C23" s="98" t="s">
        <v>64</v>
      </c>
      <c r="D23" s="106">
        <v>50</v>
      </c>
      <c r="E23" s="107"/>
      <c r="F23" s="74"/>
      <c r="G23" s="109" t="str">
        <f>IF(ISBLANK(Tabla1[[#This Row],[VOL. INICIAL (ml)]])=TRUE,"",Tabla1[[#This Row],[VOL. INICIAL (ml)]]+($G$14*Tabla1[[#This Row],[VOL. INICIAL (ml)]]+G$15))</f>
        <v/>
      </c>
      <c r="H23" s="75"/>
      <c r="I23" s="121" t="str">
        <f>IF(ISBLANK(Tabla1[[#This Row],[VOLUMEN 1 (ml)]])=TRUE,"",Tabla1[[#This Row],[VOLUMEN 1 (ml)]]+($G$14*Tabla1[[#This Row],[VOLUMEN 1 (ml)]]+G$15))</f>
        <v/>
      </c>
      <c r="J23" s="122"/>
      <c r="K23" s="122"/>
      <c r="L23" s="110" t="str">
        <f>IF(ISBLANK(Tabla1[[#This Row],[VOLUMEN 2 (ml)]])=TRUE,"",Tabla1[[#This Row],[VOLUMEN 2 (ml)]]+($G$14*Tabla1[[#This Row],[VOLUMEN 2 (ml)]]+G$15))</f>
        <v/>
      </c>
      <c r="M23" s="108"/>
      <c r="N23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3" s="76"/>
      <c r="P23" s="76"/>
      <c r="Q23" s="76"/>
      <c r="R23" s="99"/>
      <c r="S23" s="100"/>
    </row>
    <row r="24" spans="1:19" x14ac:dyDescent="0.25">
      <c r="A24" s="72" t="s">
        <v>155</v>
      </c>
      <c r="B24" s="98">
        <v>43741</v>
      </c>
      <c r="C24" s="98" t="s">
        <v>64</v>
      </c>
      <c r="D24" s="106">
        <v>50</v>
      </c>
      <c r="E24" s="107"/>
      <c r="F24" s="74"/>
      <c r="G24" s="109" t="str">
        <f>IF(ISBLANK(Tabla1[[#This Row],[VOL. INICIAL (ml)]])=TRUE,"",Tabla1[[#This Row],[VOL. INICIAL (ml)]]+($G$14*Tabla1[[#This Row],[VOL. INICIAL (ml)]]+G$15))</f>
        <v/>
      </c>
      <c r="H24" s="75"/>
      <c r="I24" s="121" t="str">
        <f>IF(ISBLANK(Tabla1[[#This Row],[VOLUMEN 1 (ml)]])=TRUE,"",Tabla1[[#This Row],[VOLUMEN 1 (ml)]]+($G$14*Tabla1[[#This Row],[VOLUMEN 1 (ml)]]+G$15))</f>
        <v/>
      </c>
      <c r="J24" s="122"/>
      <c r="K24" s="122"/>
      <c r="L24" s="110" t="str">
        <f>IF(ISBLANK(Tabla1[[#This Row],[VOLUMEN 2 (ml)]])=TRUE,"",Tabla1[[#This Row],[VOLUMEN 2 (ml)]]+($G$14*Tabla1[[#This Row],[VOLUMEN 2 (ml)]]+G$15))</f>
        <v/>
      </c>
      <c r="M24" s="108"/>
      <c r="N24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4" s="76"/>
      <c r="P24" s="76"/>
      <c r="Q24" s="76"/>
      <c r="R24" s="99"/>
      <c r="S24" s="100"/>
    </row>
    <row r="25" spans="1:19" x14ac:dyDescent="0.25">
      <c r="A25" s="72" t="s">
        <v>153</v>
      </c>
      <c r="B25" s="98">
        <v>43741</v>
      </c>
      <c r="C25" s="98" t="s">
        <v>64</v>
      </c>
      <c r="D25" s="106">
        <v>50</v>
      </c>
      <c r="E25" s="107"/>
      <c r="F25" s="74"/>
      <c r="G25" s="109" t="str">
        <f>IF(ISBLANK(Tabla1[[#This Row],[VOL. INICIAL (ml)]])=TRUE,"",Tabla1[[#This Row],[VOL. INICIAL (ml)]]+($G$14*Tabla1[[#This Row],[VOL. INICIAL (ml)]]+G$15))</f>
        <v/>
      </c>
      <c r="H25" s="75"/>
      <c r="I25" s="121" t="str">
        <f>IF(ISBLANK(Tabla1[[#This Row],[VOLUMEN 1 (ml)]])=TRUE,"",Tabla1[[#This Row],[VOLUMEN 1 (ml)]]+($G$14*Tabla1[[#This Row],[VOLUMEN 1 (ml)]]+G$15))</f>
        <v/>
      </c>
      <c r="J25" s="122"/>
      <c r="K25" s="122"/>
      <c r="L25" s="110" t="str">
        <f>IF(ISBLANK(Tabla1[[#This Row],[VOLUMEN 2 (ml)]])=TRUE,"",Tabla1[[#This Row],[VOLUMEN 2 (ml)]]+($G$14*Tabla1[[#This Row],[VOLUMEN 2 (ml)]]+G$15))</f>
        <v/>
      </c>
      <c r="M25" s="108"/>
      <c r="N25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5" s="76"/>
      <c r="P25" s="76"/>
      <c r="Q25" s="76"/>
      <c r="R25" s="99"/>
      <c r="S25" s="100"/>
    </row>
    <row r="26" spans="1:19" x14ac:dyDescent="0.25">
      <c r="A26" s="72" t="s">
        <v>154</v>
      </c>
      <c r="B26" s="98">
        <v>43741</v>
      </c>
      <c r="C26" s="98" t="s">
        <v>64</v>
      </c>
      <c r="D26" s="106">
        <v>50</v>
      </c>
      <c r="E26" s="107"/>
      <c r="F26" s="74"/>
      <c r="G26" s="109" t="str">
        <f>IF(ISBLANK(Tabla1[[#This Row],[VOL. INICIAL (ml)]])=TRUE,"",Tabla1[[#This Row],[VOL. INICIAL (ml)]]+($G$14*Tabla1[[#This Row],[VOL. INICIAL (ml)]]+G$15))</f>
        <v/>
      </c>
      <c r="H26" s="75"/>
      <c r="I26" s="121" t="str">
        <f>IF(ISBLANK(Tabla1[[#This Row],[VOLUMEN 1 (ml)]])=TRUE,"",Tabla1[[#This Row],[VOLUMEN 1 (ml)]]+($G$14*Tabla1[[#This Row],[VOLUMEN 1 (ml)]]+G$15))</f>
        <v/>
      </c>
      <c r="J26" s="122"/>
      <c r="K26" s="122"/>
      <c r="L26" s="110" t="str">
        <f>IF(ISBLANK(Tabla1[[#This Row],[VOLUMEN 2 (ml)]])=TRUE,"",Tabla1[[#This Row],[VOLUMEN 2 (ml)]]+($G$14*Tabla1[[#This Row],[VOLUMEN 2 (ml)]]+G$15))</f>
        <v/>
      </c>
      <c r="M26" s="108"/>
      <c r="N26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6" s="76"/>
      <c r="P26" s="76"/>
      <c r="Q26" s="76"/>
      <c r="R26" s="99"/>
      <c r="S26" s="100"/>
    </row>
    <row r="27" spans="1:19" x14ac:dyDescent="0.25">
      <c r="A27" s="72"/>
      <c r="B27" s="150"/>
      <c r="C27" s="150"/>
      <c r="D27" s="106"/>
      <c r="E27" s="74"/>
      <c r="F27" s="74"/>
      <c r="G27" s="109" t="str">
        <f>IF(ISBLANK(Tabla1[[#This Row],[VOL. INICIAL (ml)]])=TRUE,"",Tabla1[[#This Row],[VOL. INICIAL (ml)]]+($G$14*Tabla1[[#This Row],[VOL. INICIAL (ml)]]+G$15))</f>
        <v/>
      </c>
      <c r="H27" s="75"/>
      <c r="I27" s="121" t="str">
        <f>IF(ISBLANK(Tabla1[[#This Row],[VOLUMEN 1 (ml)]])=TRUE,"",Tabla1[[#This Row],[VOLUMEN 1 (ml)]]+($G$14*Tabla1[[#This Row],[VOLUMEN 1 (ml)]]+G$15))</f>
        <v/>
      </c>
      <c r="J27" s="122"/>
      <c r="K27" s="122"/>
      <c r="L27" s="110" t="str">
        <f>IF(ISBLANK(Tabla1[[#This Row],[VOLUMEN 2 (ml)]])=TRUE,"",Tabla1[[#This Row],[VOLUMEN 2 (ml)]]+($G$14*Tabla1[[#This Row],[VOLUMEN 2 (ml)]]+G$15))</f>
        <v/>
      </c>
      <c r="M27" s="108"/>
      <c r="N27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7" s="76"/>
      <c r="P27" s="76"/>
      <c r="Q27" s="76"/>
      <c r="R27" s="99"/>
      <c r="S27" s="100"/>
    </row>
    <row r="28" spans="1:19" x14ac:dyDescent="0.25">
      <c r="A28" s="72"/>
      <c r="B28" s="150"/>
      <c r="C28" s="150"/>
      <c r="D28" s="106"/>
      <c r="E28" s="74"/>
      <c r="F28" s="74"/>
      <c r="G28" s="109" t="str">
        <f>IF(ISBLANK(Tabla1[[#This Row],[VOL. INICIAL (ml)]])=TRUE,"",Tabla1[[#This Row],[VOL. INICIAL (ml)]]+($G$14*Tabla1[[#This Row],[VOL. INICIAL (ml)]]+G$15))</f>
        <v/>
      </c>
      <c r="H28" s="75"/>
      <c r="I28" s="121" t="str">
        <f>IF(ISBLANK(Tabla1[[#This Row],[VOLUMEN 1 (ml)]])=TRUE,"",Tabla1[[#This Row],[VOLUMEN 1 (ml)]]+($G$14*Tabla1[[#This Row],[VOLUMEN 1 (ml)]]+G$15))</f>
        <v/>
      </c>
      <c r="J28" s="122"/>
      <c r="K28" s="122"/>
      <c r="L28" s="110" t="str">
        <f>IF(ISBLANK(Tabla1[[#This Row],[VOLUMEN 2 (ml)]])=TRUE,"",Tabla1[[#This Row],[VOLUMEN 2 (ml)]]+($G$14*Tabla1[[#This Row],[VOLUMEN 2 (ml)]]+G$15))</f>
        <v/>
      </c>
      <c r="M28" s="108"/>
      <c r="N28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8" s="76"/>
      <c r="P28" s="76"/>
      <c r="Q28" s="76"/>
      <c r="R28" s="99"/>
      <c r="S28" s="100"/>
    </row>
    <row r="29" spans="1:19" x14ac:dyDescent="0.25">
      <c r="A29" s="72"/>
      <c r="B29" s="150"/>
      <c r="C29" s="150"/>
      <c r="D29" s="106"/>
      <c r="E29" s="74"/>
      <c r="F29" s="74"/>
      <c r="G29" s="109" t="str">
        <f>IF(ISBLANK(Tabla1[[#This Row],[VOL. INICIAL (ml)]])=TRUE,"",Tabla1[[#This Row],[VOL. INICIAL (ml)]]+($G$14*Tabla1[[#This Row],[VOL. INICIAL (ml)]]+G$15))</f>
        <v/>
      </c>
      <c r="H29" s="75"/>
      <c r="I29" s="121" t="str">
        <f>IF(ISBLANK(Tabla1[[#This Row],[VOLUMEN 1 (ml)]])=TRUE,"",Tabla1[[#This Row],[VOLUMEN 1 (ml)]]+($G$14*Tabla1[[#This Row],[VOLUMEN 1 (ml)]]+G$15))</f>
        <v/>
      </c>
      <c r="J29" s="122"/>
      <c r="K29" s="122"/>
      <c r="L29" s="110" t="str">
        <f>IF(ISBLANK(Tabla1[[#This Row],[VOLUMEN 2 (ml)]])=TRUE,"",Tabla1[[#This Row],[VOLUMEN 2 (ml)]]+($G$14*Tabla1[[#This Row],[VOLUMEN 2 (ml)]]+G$15))</f>
        <v/>
      </c>
      <c r="M29" s="108"/>
      <c r="N29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29" s="76"/>
      <c r="P29" s="76"/>
      <c r="Q29" s="76"/>
      <c r="R29" s="99"/>
      <c r="S29" s="100"/>
    </row>
    <row r="30" spans="1:19" x14ac:dyDescent="0.25">
      <c r="A30" s="72"/>
      <c r="B30" s="150"/>
      <c r="C30" s="150"/>
      <c r="D30" s="106"/>
      <c r="E30" s="74"/>
      <c r="F30" s="74"/>
      <c r="G30" s="109" t="str">
        <f>IF(ISBLANK(Tabla1[[#This Row],[VOL. INICIAL (ml)]])=TRUE,"",Tabla1[[#This Row],[VOL. INICIAL (ml)]]+($G$14*Tabla1[[#This Row],[VOL. INICIAL (ml)]]+G$15))</f>
        <v/>
      </c>
      <c r="H30" s="75"/>
      <c r="I30" s="121" t="str">
        <f>IF(ISBLANK(Tabla1[[#This Row],[VOLUMEN 1 (ml)]])=TRUE,"",Tabla1[[#This Row],[VOLUMEN 1 (ml)]]+($G$14*Tabla1[[#This Row],[VOLUMEN 1 (ml)]]+G$15))</f>
        <v/>
      </c>
      <c r="J30" s="122"/>
      <c r="K30" s="122"/>
      <c r="L30" s="110" t="str">
        <f>IF(ISBLANK(Tabla1[[#This Row],[VOLUMEN 2 (ml)]])=TRUE,"",Tabla1[[#This Row],[VOLUMEN 2 (ml)]]+($G$14*Tabla1[[#This Row],[VOLUMEN 2 (ml)]]+G$15))</f>
        <v/>
      </c>
      <c r="M30" s="108"/>
      <c r="N30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0" s="76"/>
      <c r="P30" s="76"/>
      <c r="Q30" s="76"/>
      <c r="R30" s="99"/>
      <c r="S30" s="100"/>
    </row>
    <row r="31" spans="1:19" x14ac:dyDescent="0.25">
      <c r="A31" s="72"/>
      <c r="B31" s="150"/>
      <c r="C31" s="150"/>
      <c r="D31" s="106"/>
      <c r="E31" s="74"/>
      <c r="F31" s="74"/>
      <c r="G31" s="109" t="str">
        <f>IF(ISBLANK(Tabla1[[#This Row],[VOL. INICIAL (ml)]])=TRUE,"",Tabla1[[#This Row],[VOL. INICIAL (ml)]]+($G$14*Tabla1[[#This Row],[VOL. INICIAL (ml)]]+G$15))</f>
        <v/>
      </c>
      <c r="H31" s="75"/>
      <c r="I31" s="121" t="str">
        <f>IF(ISBLANK(Tabla1[[#This Row],[VOLUMEN 1 (ml)]])=TRUE,"",Tabla1[[#This Row],[VOLUMEN 1 (ml)]]+($G$14*Tabla1[[#This Row],[VOLUMEN 1 (ml)]]+G$15))</f>
        <v/>
      </c>
      <c r="J31" s="122"/>
      <c r="K31" s="122"/>
      <c r="L31" s="110" t="str">
        <f>IF(ISBLANK(Tabla1[[#This Row],[VOLUMEN 2 (ml)]])=TRUE,"",Tabla1[[#This Row],[VOLUMEN 2 (ml)]]+($G$14*Tabla1[[#This Row],[VOLUMEN 2 (ml)]]+G$15))</f>
        <v/>
      </c>
      <c r="M31" s="108"/>
      <c r="N31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1" s="76"/>
      <c r="P31" s="76"/>
      <c r="Q31" s="76"/>
      <c r="R31" s="99"/>
      <c r="S31" s="100"/>
    </row>
    <row r="32" spans="1:19" x14ac:dyDescent="0.25">
      <c r="A32" s="72"/>
      <c r="B32" s="150"/>
      <c r="C32" s="150"/>
      <c r="D32" s="106"/>
      <c r="E32" s="74"/>
      <c r="F32" s="74"/>
      <c r="G32" s="109" t="str">
        <f>IF(ISBLANK(Tabla1[[#This Row],[VOL. INICIAL (ml)]])=TRUE,"",Tabla1[[#This Row],[VOL. INICIAL (ml)]]+($G$14*Tabla1[[#This Row],[VOL. INICIAL (ml)]]+G$15))</f>
        <v/>
      </c>
      <c r="H32" s="75"/>
      <c r="I32" s="121" t="str">
        <f>IF(ISBLANK(Tabla1[[#This Row],[VOLUMEN 1 (ml)]])=TRUE,"",Tabla1[[#This Row],[VOLUMEN 1 (ml)]]+($G$14*Tabla1[[#This Row],[VOLUMEN 1 (ml)]]+G$15))</f>
        <v/>
      </c>
      <c r="J32" s="122"/>
      <c r="K32" s="122"/>
      <c r="L32" s="110" t="str">
        <f>IF(ISBLANK(Tabla1[[#This Row],[VOLUMEN 2 (ml)]])=TRUE,"",Tabla1[[#This Row],[VOLUMEN 2 (ml)]]+($G$14*Tabla1[[#This Row],[VOLUMEN 2 (ml)]]+G$15))</f>
        <v/>
      </c>
      <c r="M32" s="108"/>
      <c r="N32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2" s="76"/>
      <c r="P32" s="76"/>
      <c r="Q32" s="76"/>
      <c r="R32" s="99"/>
      <c r="S32" s="100"/>
    </row>
    <row r="33" spans="1:19" x14ac:dyDescent="0.25">
      <c r="A33" s="72"/>
      <c r="B33" s="150"/>
      <c r="C33" s="150"/>
      <c r="D33" s="106"/>
      <c r="E33" s="74"/>
      <c r="F33" s="74"/>
      <c r="G33" s="109" t="str">
        <f>IF(ISBLANK(Tabla1[[#This Row],[VOL. INICIAL (ml)]])=TRUE,"",Tabla1[[#This Row],[VOL. INICIAL (ml)]]+($G$14*Tabla1[[#This Row],[VOL. INICIAL (ml)]]+G$15))</f>
        <v/>
      </c>
      <c r="H33" s="75"/>
      <c r="I33" s="121" t="str">
        <f>IF(ISBLANK(Tabla1[[#This Row],[VOLUMEN 1 (ml)]])=TRUE,"",Tabla1[[#This Row],[VOLUMEN 1 (ml)]]+($G$14*Tabla1[[#This Row],[VOLUMEN 1 (ml)]]+G$15))</f>
        <v/>
      </c>
      <c r="J33" s="122"/>
      <c r="K33" s="122"/>
      <c r="L33" s="110" t="str">
        <f>IF(ISBLANK(Tabla1[[#This Row],[VOLUMEN 2 (ml)]])=TRUE,"",Tabla1[[#This Row],[VOLUMEN 2 (ml)]]+($G$14*Tabla1[[#This Row],[VOLUMEN 2 (ml)]]+G$15))</f>
        <v/>
      </c>
      <c r="M33" s="108"/>
      <c r="N33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3" s="76"/>
      <c r="P33" s="76"/>
      <c r="Q33" s="76"/>
      <c r="R33" s="99"/>
      <c r="S33" s="100"/>
    </row>
    <row r="34" spans="1:19" x14ac:dyDescent="0.25">
      <c r="A34" s="72"/>
      <c r="B34" s="150"/>
      <c r="C34" s="150"/>
      <c r="D34" s="106"/>
      <c r="E34" s="74"/>
      <c r="F34" s="74"/>
      <c r="G34" s="109" t="str">
        <f>IF(ISBLANK(Tabla1[[#This Row],[VOL. INICIAL (ml)]])=TRUE,"",Tabla1[[#This Row],[VOL. INICIAL (ml)]]+($G$14*Tabla1[[#This Row],[VOL. INICIAL (ml)]]+G$15))</f>
        <v/>
      </c>
      <c r="H34" s="75"/>
      <c r="I34" s="121" t="str">
        <f>IF(ISBLANK(Tabla1[[#This Row],[VOLUMEN 1 (ml)]])=TRUE,"",Tabla1[[#This Row],[VOLUMEN 1 (ml)]]+($G$14*Tabla1[[#This Row],[VOLUMEN 1 (ml)]]+G$15))</f>
        <v/>
      </c>
      <c r="J34" s="122"/>
      <c r="K34" s="122"/>
      <c r="L34" s="110" t="str">
        <f>IF(ISBLANK(Tabla1[[#This Row],[VOLUMEN 2 (ml)]])=TRUE,"",Tabla1[[#This Row],[VOLUMEN 2 (ml)]]+($G$14*Tabla1[[#This Row],[VOLUMEN 2 (ml)]]+G$15))</f>
        <v/>
      </c>
      <c r="M34" s="108"/>
      <c r="N34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4" s="76"/>
      <c r="P34" s="76"/>
      <c r="Q34" s="76"/>
      <c r="R34" s="99"/>
      <c r="S34" s="100"/>
    </row>
    <row r="35" spans="1:19" x14ac:dyDescent="0.25">
      <c r="A35" s="72"/>
      <c r="B35" s="150"/>
      <c r="C35" s="150"/>
      <c r="D35" s="106"/>
      <c r="E35" s="74"/>
      <c r="F35" s="74"/>
      <c r="G35" s="109" t="str">
        <f>IF(ISBLANK(Tabla1[[#This Row],[VOL. INICIAL (ml)]])=TRUE,"",Tabla1[[#This Row],[VOL. INICIAL (ml)]]+($G$14*Tabla1[[#This Row],[VOL. INICIAL (ml)]]+G$15))</f>
        <v/>
      </c>
      <c r="H35" s="75"/>
      <c r="I35" s="121" t="str">
        <f>IF(ISBLANK(Tabla1[[#This Row],[VOLUMEN 1 (ml)]])=TRUE,"",Tabla1[[#This Row],[VOLUMEN 1 (ml)]]+($G$14*Tabla1[[#This Row],[VOLUMEN 1 (ml)]]+G$15))</f>
        <v/>
      </c>
      <c r="J35" s="122"/>
      <c r="K35" s="122"/>
      <c r="L35" s="110" t="str">
        <f>IF(ISBLANK(Tabla1[[#This Row],[VOLUMEN 2 (ml)]])=TRUE,"",Tabla1[[#This Row],[VOLUMEN 2 (ml)]]+($G$14*Tabla1[[#This Row],[VOLUMEN 2 (ml)]]+G$15))</f>
        <v/>
      </c>
      <c r="M35" s="108"/>
      <c r="N35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5" s="76"/>
      <c r="P35" s="76"/>
      <c r="Q35" s="76"/>
      <c r="R35" s="99"/>
      <c r="S35" s="100"/>
    </row>
    <row r="36" spans="1:19" x14ac:dyDescent="0.25">
      <c r="A36" s="72"/>
      <c r="B36" s="150"/>
      <c r="C36" s="150"/>
      <c r="D36" s="106"/>
      <c r="E36" s="74"/>
      <c r="F36" s="74"/>
      <c r="G36" s="109" t="str">
        <f>IF(ISBLANK(Tabla1[[#This Row],[VOL. INICIAL (ml)]])=TRUE,"",Tabla1[[#This Row],[VOL. INICIAL (ml)]]+($G$14*Tabla1[[#This Row],[VOL. INICIAL (ml)]]+G$15))</f>
        <v/>
      </c>
      <c r="H36" s="75"/>
      <c r="I36" s="121" t="str">
        <f>IF(ISBLANK(Tabla1[[#This Row],[VOLUMEN 1 (ml)]])=TRUE,"",Tabla1[[#This Row],[VOLUMEN 1 (ml)]]+($G$14*Tabla1[[#This Row],[VOLUMEN 1 (ml)]]+G$15))</f>
        <v/>
      </c>
      <c r="J36" s="122"/>
      <c r="K36" s="122"/>
      <c r="L36" s="110" t="str">
        <f>IF(ISBLANK(Tabla1[[#This Row],[VOLUMEN 2 (ml)]])=TRUE,"",Tabla1[[#This Row],[VOLUMEN 2 (ml)]]+($G$14*Tabla1[[#This Row],[VOLUMEN 2 (ml)]]+G$15))</f>
        <v/>
      </c>
      <c r="M36" s="108"/>
      <c r="N36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6" s="76"/>
      <c r="P36" s="76"/>
      <c r="Q36" s="76"/>
      <c r="R36" s="99"/>
      <c r="S36" s="100"/>
    </row>
    <row r="37" spans="1:19" x14ac:dyDescent="0.25">
      <c r="A37" s="72"/>
      <c r="B37" s="150"/>
      <c r="C37" s="150"/>
      <c r="D37" s="106"/>
      <c r="E37" s="74"/>
      <c r="F37" s="74"/>
      <c r="G37" s="109" t="str">
        <f>IF(ISBLANK(Tabla1[[#This Row],[VOL. INICIAL (ml)]])=TRUE,"",Tabla1[[#This Row],[VOL. INICIAL (ml)]]+($G$14*Tabla1[[#This Row],[VOL. INICIAL (ml)]]+G$15))</f>
        <v/>
      </c>
      <c r="H37" s="75"/>
      <c r="I37" s="121" t="str">
        <f>IF(ISBLANK(Tabla1[[#This Row],[VOLUMEN 1 (ml)]])=TRUE,"",Tabla1[[#This Row],[VOLUMEN 1 (ml)]]+($G$14*Tabla1[[#This Row],[VOLUMEN 1 (ml)]]+G$15))</f>
        <v/>
      </c>
      <c r="J37" s="122"/>
      <c r="K37" s="122"/>
      <c r="L37" s="110" t="str">
        <f>IF(ISBLANK(Tabla1[[#This Row],[VOLUMEN 2 (ml)]])=TRUE,"",Tabla1[[#This Row],[VOLUMEN 2 (ml)]]+($G$14*Tabla1[[#This Row],[VOLUMEN 2 (ml)]]+G$15))</f>
        <v/>
      </c>
      <c r="M37" s="108"/>
      <c r="N37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7" s="76"/>
      <c r="P37" s="76"/>
      <c r="Q37" s="76"/>
      <c r="R37" s="99"/>
      <c r="S37" s="100"/>
    </row>
    <row r="38" spans="1:19" x14ac:dyDescent="0.25">
      <c r="A38" s="72"/>
      <c r="B38" s="150"/>
      <c r="C38" s="150"/>
      <c r="D38" s="106"/>
      <c r="E38" s="74"/>
      <c r="F38" s="74"/>
      <c r="G38" s="109" t="str">
        <f>IF(ISBLANK(Tabla1[[#This Row],[VOL. INICIAL (ml)]])=TRUE,"",Tabla1[[#This Row],[VOL. INICIAL (ml)]]+($G$14*Tabla1[[#This Row],[VOL. INICIAL (ml)]]+G$15))</f>
        <v/>
      </c>
      <c r="H38" s="75"/>
      <c r="I38" s="121" t="str">
        <f>IF(ISBLANK(Tabla1[[#This Row],[VOLUMEN 1 (ml)]])=TRUE,"",Tabla1[[#This Row],[VOLUMEN 1 (ml)]]+($G$14*Tabla1[[#This Row],[VOLUMEN 1 (ml)]]+G$15))</f>
        <v/>
      </c>
      <c r="J38" s="122"/>
      <c r="K38" s="122"/>
      <c r="L38" s="110" t="str">
        <f>IF(ISBLANK(Tabla1[[#This Row],[VOLUMEN 2 (ml)]])=TRUE,"",Tabla1[[#This Row],[VOLUMEN 2 (ml)]]+($G$14*Tabla1[[#This Row],[VOLUMEN 2 (ml)]]+G$15))</f>
        <v/>
      </c>
      <c r="M38" s="108"/>
      <c r="N38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8" s="76"/>
      <c r="P38" s="76"/>
      <c r="Q38" s="76"/>
      <c r="R38" s="99"/>
      <c r="S38" s="100"/>
    </row>
    <row r="39" spans="1:19" x14ac:dyDescent="0.25">
      <c r="A39" s="72"/>
      <c r="B39" s="150"/>
      <c r="C39" s="150"/>
      <c r="D39" s="106"/>
      <c r="E39" s="74"/>
      <c r="F39" s="74"/>
      <c r="G39" s="109" t="str">
        <f>IF(ISBLANK(Tabla1[[#This Row],[VOL. INICIAL (ml)]])=TRUE,"",Tabla1[[#This Row],[VOL. INICIAL (ml)]]+($G$14*Tabla1[[#This Row],[VOL. INICIAL (ml)]]+G$15))</f>
        <v/>
      </c>
      <c r="H39" s="75"/>
      <c r="I39" s="121" t="str">
        <f>IF(ISBLANK(Tabla1[[#This Row],[VOLUMEN 1 (ml)]])=TRUE,"",Tabla1[[#This Row],[VOLUMEN 1 (ml)]]+($G$14*Tabla1[[#This Row],[VOLUMEN 1 (ml)]]+G$15))</f>
        <v/>
      </c>
      <c r="J39" s="122"/>
      <c r="K39" s="122"/>
      <c r="L39" s="110" t="str">
        <f>IF(ISBLANK(Tabla1[[#This Row],[VOLUMEN 2 (ml)]])=TRUE,"",Tabla1[[#This Row],[VOLUMEN 2 (ml)]]+($G$14*Tabla1[[#This Row],[VOLUMEN 2 (ml)]]+G$15))</f>
        <v/>
      </c>
      <c r="M39" s="108"/>
      <c r="N39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39" s="76"/>
      <c r="P39" s="76"/>
      <c r="Q39" s="76"/>
      <c r="R39" s="99"/>
      <c r="S39" s="100"/>
    </row>
    <row r="40" spans="1:19" x14ac:dyDescent="0.25">
      <c r="A40" s="72"/>
      <c r="B40" s="150"/>
      <c r="C40" s="150"/>
      <c r="D40" s="106"/>
      <c r="E40" s="74"/>
      <c r="F40" s="74"/>
      <c r="G40" s="109" t="str">
        <f>IF(ISBLANK(Tabla1[[#This Row],[VOL. INICIAL (ml)]])=TRUE,"",Tabla1[[#This Row],[VOL. INICIAL (ml)]]+($G$14*Tabla1[[#This Row],[VOL. INICIAL (ml)]]+G$15))</f>
        <v/>
      </c>
      <c r="H40" s="75"/>
      <c r="I40" s="121" t="str">
        <f>IF(ISBLANK(Tabla1[[#This Row],[VOLUMEN 1 (ml)]])=TRUE,"",Tabla1[[#This Row],[VOLUMEN 1 (ml)]]+($G$14*Tabla1[[#This Row],[VOLUMEN 1 (ml)]]+G$15))</f>
        <v/>
      </c>
      <c r="J40" s="122"/>
      <c r="K40" s="122"/>
      <c r="L40" s="110" t="str">
        <f>IF(ISBLANK(Tabla1[[#This Row],[VOLUMEN 2 (ml)]])=TRUE,"",Tabla1[[#This Row],[VOLUMEN 2 (ml)]]+($G$14*Tabla1[[#This Row],[VOLUMEN 2 (ml)]]+G$15))</f>
        <v/>
      </c>
      <c r="M40" s="108"/>
      <c r="N40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40" s="76"/>
      <c r="P40" s="76"/>
      <c r="Q40" s="76"/>
      <c r="R40" s="99"/>
      <c r="S40" s="100"/>
    </row>
    <row r="41" spans="1:19" x14ac:dyDescent="0.25">
      <c r="A41" s="72"/>
      <c r="B41" s="150"/>
      <c r="C41" s="150"/>
      <c r="D41" s="106"/>
      <c r="E41" s="74"/>
      <c r="F41" s="74"/>
      <c r="G41" s="109" t="str">
        <f>IF(ISBLANK(Tabla1[[#This Row],[VOL. INICIAL (ml)]])=TRUE,"",Tabla1[[#This Row],[VOL. INICIAL (ml)]]+($G$14*Tabla1[[#This Row],[VOL. INICIAL (ml)]]+G$15))</f>
        <v/>
      </c>
      <c r="H41" s="75"/>
      <c r="I41" s="121" t="str">
        <f>IF(ISBLANK(Tabla1[[#This Row],[VOLUMEN 1 (ml)]])=TRUE,"",Tabla1[[#This Row],[VOLUMEN 1 (ml)]]+($G$14*Tabla1[[#This Row],[VOLUMEN 1 (ml)]]+G$15))</f>
        <v/>
      </c>
      <c r="J41" s="122"/>
      <c r="K41" s="122"/>
      <c r="L41" s="110" t="str">
        <f>IF(ISBLANK(Tabla1[[#This Row],[VOLUMEN 2 (ml)]])=TRUE,"",Tabla1[[#This Row],[VOLUMEN 2 (ml)]]+($G$14*Tabla1[[#This Row],[VOLUMEN 2 (ml)]]+G$15))</f>
        <v/>
      </c>
      <c r="M41" s="108"/>
      <c r="N41" s="123" t="str">
        <f>IF(AND(ISNUMBER(Tabla1[[#This Row],[VOL. MUESTRA (ml)]]),ISNUMBER(Tabla1[[#This Row],[CONCENTRACION H2SO4 (N)]]),ISNUMBER(Tabla1[[#This Row],[VOL. INICIAL CORREGIDO (ml)]]),ISNUMBER(Tabla1[[#This Row],[VOLUMEN 1 CORREGIDO (ml)]]),ISNUMBER(Tabla1[[#This Row],[VOLUMEN 2 CORREGIDO (ml)]])),((2*(Tabla1[[#This Row],[VOLUMEN 1 CORREGIDO (ml)]]-Tabla1[[#This Row],[VOL. INICIAL CORREGIDO (ml)]]))-(Tabla1[[#This Row],[VOLUMEN 2 CORREGIDO (ml)]]-Tabla1[[#This Row],[VOLUMEN 1 CORREGIDO (ml)]]))*Tabla1[[#This Row],[CONCENTRACION H2SO4 (N)]]*50000/Tabla1[[#This Row],[VOL. MUESTRA (ml)]],"")</f>
        <v/>
      </c>
      <c r="O41" s="76"/>
      <c r="P41" s="76"/>
      <c r="Q41" s="76"/>
      <c r="R41" s="99"/>
      <c r="S41" s="100"/>
    </row>
  </sheetData>
  <sheetProtection algorithmName="SHA-512" hashValue="wSIZruS8F6kZ+xwumnVKd/PI23BEv3EvdPjbx4antA90BH6h3w9wf6MgFnnwucESkDymMoIf9f62CiWQp38hNg==" saltValue="I81wJDj8RZXeBi5emDTLwQ==" spinCount="100000" sheet="1" autoFilter="0"/>
  <mergeCells count="10">
    <mergeCell ref="J5:K5"/>
    <mergeCell ref="A1:B3"/>
    <mergeCell ref="C1:O2"/>
    <mergeCell ref="C3:O3"/>
    <mergeCell ref="E18:J18"/>
    <mergeCell ref="A18:C18"/>
    <mergeCell ref="G5:H5"/>
    <mergeCell ref="A5:B5"/>
    <mergeCell ref="D5:E5"/>
    <mergeCell ref="A17:Q17"/>
  </mergeCells>
  <conditionalFormatting sqref="C5 F5">
    <cfRule type="containsBlanks" dxfId="58" priority="16">
      <formula>LEN(TRIM(C5))=0</formula>
    </cfRule>
  </conditionalFormatting>
  <conditionalFormatting sqref="N20:N41">
    <cfRule type="expression" dxfId="57" priority="20">
      <formula>AND(ISNUMBER(N20)=TRUE,C20="BLANCO",N20&gt;$L$5/2)=TRUE</formula>
    </cfRule>
  </conditionalFormatting>
  <dataValidations count="9">
    <dataValidation type="decimal" allowBlank="1" showInputMessage="1" showErrorMessage="1" sqref="H20:H41" xr:uid="{71C1B0EA-69E1-45D3-8ADB-38CBDFFC4786}">
      <formula1>0</formula1>
      <formula2>200</formula2>
    </dataValidation>
    <dataValidation type="textLength" operator="greaterThanOrEqual" allowBlank="1" showInputMessage="1" showErrorMessage="1" sqref="A20:A41" xr:uid="{AC3EF097-625A-4113-9E51-530490A627A1}">
      <formula1>1</formula1>
    </dataValidation>
    <dataValidation type="date" operator="greaterThanOrEqual" allowBlank="1" showInputMessage="1" showErrorMessage="1" sqref="B20:B41" xr:uid="{3293B660-8EC4-45AC-8C17-F870A3BF7610}">
      <formula1>43465</formula1>
    </dataValidation>
    <dataValidation type="textLength" allowBlank="1" showInputMessage="1" showErrorMessage="1" sqref="O20:P41" xr:uid="{F225B7BA-1A3B-4048-AE6E-154CC19B7856}">
      <formula1>3</formula1>
      <formula2>4</formula2>
    </dataValidation>
    <dataValidation type="list" operator="greaterThanOrEqual" allowBlank="1" showInputMessage="1" showErrorMessage="1" sqref="Q20:Q41" xr:uid="{6E0E2CE6-E6B1-413B-AF4B-D25BDCC8D081}">
      <formula1>$F$7:$F$8</formula1>
    </dataValidation>
    <dataValidation type="decimal" operator="lessThanOrEqual" allowBlank="1" showInputMessage="1" showErrorMessage="1" sqref="E20:E26" xr:uid="{97D4952C-D36B-4903-B071-034AAA88D17F}">
      <formula1>1.1</formula1>
    </dataValidation>
    <dataValidation type="whole" allowBlank="1" showInputMessage="1" showErrorMessage="1" sqref="D20:D41" xr:uid="{A9D7EE45-6F0E-410B-AF1D-176C8722D476}">
      <formula1>0</formula1>
      <formula2>200</formula2>
    </dataValidation>
    <dataValidation type="decimal" allowBlank="1" showInputMessage="1" showErrorMessage="1" sqref="E20:E26" xr:uid="{7E73513B-9A42-4FBB-8B6E-A457C29EA074}">
      <formula1>0</formula1>
      <formula2>1</formula2>
    </dataValidation>
    <dataValidation operator="lessThanOrEqual" allowBlank="1" showInputMessage="1" showErrorMessage="1" sqref="L20:L41" xr:uid="{6BC6528F-7E50-420B-AD7D-1DAE0F18806E}"/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'Tipos de Muestra'!$A$2:$A$5</xm:f>
          </x14:formula1>
          <xm:sqref>C20:C41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9E79-99A0-40CE-BF28-ADEFA10379EF}">
  <dimension ref="A1:K13"/>
  <sheetViews>
    <sheetView workbookViewId="0">
      <selection activeCell="K8" sqref="K8:K13"/>
    </sheetView>
  </sheetViews>
  <sheetFormatPr baseColWidth="10" defaultRowHeight="15" x14ac:dyDescent="0.25"/>
  <cols>
    <col min="1" max="1" width="13.85546875" customWidth="1"/>
    <col min="2" max="2" width="20" customWidth="1"/>
    <col min="3" max="3" width="29.140625" customWidth="1"/>
    <col min="4" max="4" width="20.85546875" customWidth="1"/>
    <col min="5" max="5" width="20.28515625" customWidth="1"/>
    <col min="6" max="6" width="19.5703125" customWidth="1"/>
    <col min="7" max="7" width="21.42578125" customWidth="1"/>
    <col min="8" max="8" width="26.7109375" customWidth="1"/>
    <col min="9" max="9" width="19.28515625" customWidth="1"/>
    <col min="10" max="10" width="16.5703125" customWidth="1"/>
    <col min="11" max="11" width="14" customWidth="1"/>
  </cols>
  <sheetData>
    <row r="1" spans="1:11" ht="24.75" customHeight="1" x14ac:dyDescent="0.25">
      <c r="A1" s="88"/>
      <c r="B1" s="202" t="str">
        <f>control!C1</f>
        <v>Cuadro de mando para la determinación de alcalinidad en agua</v>
      </c>
      <c r="C1" s="203"/>
      <c r="D1" s="204"/>
      <c r="E1" s="102" t="s">
        <v>115</v>
      </c>
      <c r="F1" s="103" t="str">
        <f>control!H1</f>
        <v>SOFT-TC-050</v>
      </c>
    </row>
    <row r="2" spans="1:11" ht="20.25" customHeight="1" x14ac:dyDescent="0.25">
      <c r="A2" s="88"/>
      <c r="B2" s="202"/>
      <c r="C2" s="203"/>
      <c r="D2" s="204"/>
      <c r="E2" s="102" t="s">
        <v>116</v>
      </c>
      <c r="F2" s="103">
        <f>control!H2</f>
        <v>1</v>
      </c>
    </row>
    <row r="3" spans="1:11" ht="23.25" customHeight="1" x14ac:dyDescent="0.25">
      <c r="A3" s="88"/>
      <c r="B3" s="205" t="s">
        <v>85</v>
      </c>
      <c r="C3" s="206"/>
      <c r="D3" s="207"/>
      <c r="E3" s="104" t="s">
        <v>117</v>
      </c>
      <c r="F3" s="105">
        <f>control!H3</f>
        <v>43733</v>
      </c>
    </row>
    <row r="6" spans="1:11" x14ac:dyDescent="0.25">
      <c r="A6" t="s">
        <v>123</v>
      </c>
    </row>
    <row r="7" spans="1:11" x14ac:dyDescent="0.25">
      <c r="A7" t="s">
        <v>8</v>
      </c>
      <c r="B7" t="s">
        <v>2</v>
      </c>
      <c r="C7" t="s">
        <v>62</v>
      </c>
      <c r="D7" t="s">
        <v>141</v>
      </c>
      <c r="E7" t="s">
        <v>142</v>
      </c>
      <c r="F7" t="s">
        <v>138</v>
      </c>
      <c r="G7" t="s">
        <v>143</v>
      </c>
      <c r="H7" t="s">
        <v>140</v>
      </c>
      <c r="I7" t="s">
        <v>146</v>
      </c>
      <c r="J7" t="s">
        <v>147</v>
      </c>
      <c r="K7" t="s">
        <v>70</v>
      </c>
    </row>
    <row r="8" spans="1:11" x14ac:dyDescent="0.25">
      <c r="A8" s="58" t="s">
        <v>122</v>
      </c>
      <c r="B8" s="124">
        <f>IF(ISBLANK(Tabla3[[#This Row],[ID MUESTRA]]),"",VLOOKUP(Tabla3[[#This Row],[ID MUESTRA]],Tabla1[#All],2,FALSE))</f>
        <v>43727</v>
      </c>
      <c r="C8" s="125" t="str">
        <f>IF(ISBLANK(Tabla3[[#This Row],[ID MUESTRA]]),"",VLOOKUP(Tabla3[[#This Row],[ID MUESTRA]],Tabla1[#All],3,FALSE))</f>
        <v>ESTANDAR DE CONTROL</v>
      </c>
      <c r="D8" s="66">
        <v>2.5</v>
      </c>
      <c r="E8" s="90">
        <v>1</v>
      </c>
      <c r="F8" s="58">
        <v>1000</v>
      </c>
      <c r="G8" s="58">
        <v>100</v>
      </c>
      <c r="H8" s="126">
        <f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f>
        <v>23.607918949926788</v>
      </c>
      <c r="I8" s="126">
        <f>IF(ISNA(VLOOKUP(Tabla3[[#This Row],[ID MUESTRA]],Tabla1[#All],14,FALSE)),"",VLOOKUP(Tabla3[[#This Row],[ID MUESTRA]],Tabla1[#All],14,FALSE))</f>
        <v>10</v>
      </c>
      <c r="J8" s="127">
        <f>IF(AND(ISNUMBER(Tabla3[[#This Row],[VR. TEORICO mg CaCO3/l]]),ISNUMBER(Tabla3[[#This Row],[RESULTADO mg CaCO3/l]])),Tabla3[[#This Row],[RESULTADO mg CaCO3/l]]/Tabla3[[#This Row],[VR. TEORICO mg CaCO3/l]],"")</f>
        <v>0.42358667958875773</v>
      </c>
      <c r="K8" s="128"/>
    </row>
    <row r="9" spans="1:11" x14ac:dyDescent="0.25">
      <c r="A9" s="58"/>
      <c r="B9" s="124" t="str">
        <f>IF(ISBLANK(Tabla3[[#This Row],[ID MUESTRA]]),"",VLOOKUP(Tabla3[[#This Row],[ID MUESTRA]],Tabla1[#All],2,FALSE))</f>
        <v/>
      </c>
      <c r="C9" s="125" t="str">
        <f>IF(ISBLANK(Tabla3[[#This Row],[ID MUESTRA]]),"",VLOOKUP(Tabla3[[#This Row],[ID MUESTRA]],Tabla1[#All],3,FALSE))</f>
        <v/>
      </c>
      <c r="D9" s="66"/>
      <c r="E9" s="90"/>
      <c r="F9" s="58"/>
      <c r="G9" s="58"/>
      <c r="H9" s="126" t="str">
        <f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f>
        <v/>
      </c>
      <c r="I9" s="126" t="str">
        <f>IF(ISNA(VLOOKUP(Tabla3[[#This Row],[ID MUESTRA]],Tabla1[#All],14,FALSE)),"",VLOOKUP(Tabla3[[#This Row],[ID MUESTRA]],Tabla1[#All],14,FALSE))</f>
        <v/>
      </c>
      <c r="J9" s="127" t="str">
        <f>IF(AND(ISNUMBER(Tabla3[[#This Row],[VR. TEORICO mg CaCO3/l]]),ISNUMBER(Tabla3[[#This Row],[RESULTADO mg CaCO3/l]])),Tabla3[[#This Row],[RESULTADO mg CaCO3/l]]/Tabla3[[#This Row],[VR. TEORICO mg CaCO3/l]],"")</f>
        <v/>
      </c>
      <c r="K9" s="128"/>
    </row>
    <row r="10" spans="1:11" x14ac:dyDescent="0.25">
      <c r="A10" s="58"/>
      <c r="B10" s="124" t="str">
        <f>IF(ISBLANK(Tabla3[[#This Row],[ID MUESTRA]]),"",VLOOKUP(Tabla3[[#This Row],[ID MUESTRA]],Tabla1[#All],2,FALSE))</f>
        <v/>
      </c>
      <c r="C10" s="125" t="str">
        <f>IF(ISBLANK(Tabla3[[#This Row],[ID MUESTRA]]),"",VLOOKUP(Tabla3[[#This Row],[ID MUESTRA]],Tabla1[#All],3,FALSE))</f>
        <v/>
      </c>
      <c r="D10" s="66"/>
      <c r="E10" s="90"/>
      <c r="F10" s="58"/>
      <c r="G10" s="58"/>
      <c r="H10" s="126" t="str">
        <f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f>
        <v/>
      </c>
      <c r="I10" s="126" t="str">
        <f>IF(ISNA(VLOOKUP(Tabla3[[#This Row],[ID MUESTRA]],Tabla1[#All],14,FALSE)),"",VLOOKUP(Tabla3[[#This Row],[ID MUESTRA]],Tabla1[#All],14,FALSE))</f>
        <v/>
      </c>
      <c r="J10" s="127" t="str">
        <f>IF(AND(ISNUMBER(Tabla3[[#This Row],[VR. TEORICO mg CaCO3/l]]),ISNUMBER(Tabla3[[#This Row],[RESULTADO mg CaCO3/l]])),Tabla3[[#This Row],[RESULTADO mg CaCO3/l]]/Tabla3[[#This Row],[VR. TEORICO mg CaCO3/l]],"")</f>
        <v/>
      </c>
      <c r="K10" s="128"/>
    </row>
    <row r="11" spans="1:11" x14ac:dyDescent="0.25">
      <c r="A11" s="58"/>
      <c r="B11" s="124" t="str">
        <f>IF(ISBLANK(Tabla3[[#This Row],[ID MUESTRA]]),"",VLOOKUP(Tabla3[[#This Row],[ID MUESTRA]],Tabla1[#All],2,FALSE))</f>
        <v/>
      </c>
      <c r="C11" s="125" t="str">
        <f>IF(ISBLANK(Tabla3[[#This Row],[ID MUESTRA]]),"",VLOOKUP(Tabla3[[#This Row],[ID MUESTRA]],Tabla1[#All],3,FALSE))</f>
        <v/>
      </c>
      <c r="D11" s="66"/>
      <c r="E11" s="90"/>
      <c r="F11" s="58"/>
      <c r="G11" s="58"/>
      <c r="H11" s="126" t="str">
        <f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f>
        <v/>
      </c>
      <c r="I11" s="126" t="str">
        <f>IF(ISNA(VLOOKUP(Tabla3[[#This Row],[ID MUESTRA]],Tabla1[#All],14,FALSE)),"",VLOOKUP(Tabla3[[#This Row],[ID MUESTRA]],Tabla1[#All],14,FALSE))</f>
        <v/>
      </c>
      <c r="J11" s="127" t="str">
        <f>IF(AND(ISNUMBER(Tabla3[[#This Row],[VR. TEORICO mg CaCO3/l]]),ISNUMBER(Tabla3[[#This Row],[RESULTADO mg CaCO3/l]])),Tabla3[[#This Row],[RESULTADO mg CaCO3/l]]/Tabla3[[#This Row],[VR. TEORICO mg CaCO3/l]],"")</f>
        <v/>
      </c>
      <c r="K11" s="128"/>
    </row>
    <row r="12" spans="1:11" x14ac:dyDescent="0.25">
      <c r="A12" s="58"/>
      <c r="B12" s="124" t="str">
        <f>IF(ISBLANK(Tabla3[[#This Row],[ID MUESTRA]]),"",VLOOKUP(Tabla3[[#This Row],[ID MUESTRA]],Tabla1[#All],2,FALSE))</f>
        <v/>
      </c>
      <c r="C12" s="125" t="str">
        <f>IF(ISBLANK(Tabla3[[#This Row],[ID MUESTRA]]),"",VLOOKUP(Tabla3[[#This Row],[ID MUESTRA]],Tabla1[#All],3,FALSE))</f>
        <v/>
      </c>
      <c r="D12" s="66"/>
      <c r="E12" s="90"/>
      <c r="F12" s="58"/>
      <c r="G12" s="58"/>
      <c r="H12" s="126" t="str">
        <f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f>
        <v/>
      </c>
      <c r="I12" s="126" t="str">
        <f>IF(ISNA(VLOOKUP(Tabla3[[#This Row],[ID MUESTRA]],Tabla1[#All],14,FALSE)),"",VLOOKUP(Tabla3[[#This Row],[ID MUESTRA]],Tabla1[#All],14,FALSE))</f>
        <v/>
      </c>
      <c r="J12" s="127" t="str">
        <f>IF(AND(ISNUMBER(Tabla3[[#This Row],[VR. TEORICO mg CaCO3/l]]),ISNUMBER(Tabla3[[#This Row],[RESULTADO mg CaCO3/l]])),Tabla3[[#This Row],[RESULTADO mg CaCO3/l]]/Tabla3[[#This Row],[VR. TEORICO mg CaCO3/l]],"")</f>
        <v/>
      </c>
      <c r="K12" s="128"/>
    </row>
    <row r="13" spans="1:11" x14ac:dyDescent="0.25">
      <c r="A13" s="58"/>
      <c r="B13" s="124" t="str">
        <f>IF(ISBLANK(Tabla3[[#This Row],[ID MUESTRA]]),"",VLOOKUP(Tabla3[[#This Row],[ID MUESTRA]],Tabla1[#All],2,FALSE))</f>
        <v/>
      </c>
      <c r="C13" s="125" t="str">
        <f>IF(ISBLANK(Tabla3[[#This Row],[ID MUESTRA]]),"",VLOOKUP(Tabla3[[#This Row],[ID MUESTRA]],Tabla1[#All],3,FALSE))</f>
        <v/>
      </c>
      <c r="D13" s="66"/>
      <c r="E13" s="90"/>
      <c r="F13" s="58"/>
      <c r="G13" s="58"/>
      <c r="H13" s="126" t="str">
        <f>IF(AND(ISNUMBER(Tabla3[[#This Row],[MASA Na2CO3 (g)]]),ISNUMBER(Tabla3[[#This Row],[PUREZA Na2CO3 (%)]]),ISNUMBER(Tabla3[[#This Row],[VOL. DILUCION (ml)]]),ISNUMBER(Tabla3[[#This Row],[FACTOR DE DILUCIÓN]])),Tabla3[[#This Row],[MASA Na2CO3 (g)]]*Tabla3[[#This Row],[PUREZA Na2CO3 (%)]]*1000/(Tabla3[[#This Row],[VOL. DILUCION (ml)]]/1000)/Tabla3[[#This Row],[FACTOR DE DILUCIÓN]]*50.0435/52.9944,"")</f>
        <v/>
      </c>
      <c r="I13" s="126" t="str">
        <f>IF(ISNA(VLOOKUP(Tabla3[[#This Row],[ID MUESTRA]],Tabla1[#All],14,FALSE)),"",VLOOKUP(Tabla3[[#This Row],[ID MUESTRA]],Tabla1[#All],14,FALSE))</f>
        <v/>
      </c>
      <c r="J13" s="127" t="str">
        <f>IF(AND(ISNUMBER(Tabla3[[#This Row],[VR. TEORICO mg CaCO3/l]]),ISNUMBER(Tabla3[[#This Row],[RESULTADO mg CaCO3/l]])),Tabla3[[#This Row],[RESULTADO mg CaCO3/l]]/Tabla3[[#This Row],[VR. TEORICO mg CaCO3/l]],"")</f>
        <v/>
      </c>
      <c r="K13" s="128"/>
    </row>
  </sheetData>
  <sheetProtection algorithmName="SHA-512" hashValue="vPZ9xsvdItZx2tcalhhk+EBH3vjZ4h/vf/qEJyXkSY89t5XbekuHR5/xmDtbNHWS0jdbCdN3PNJx+8cGq7DX7A==" saltValue="Gc+hGbA2ALv+Gm4m7/760Q==" spinCount="100000" sheet="1" objects="1" scenarios="1"/>
  <mergeCells count="2">
    <mergeCell ref="B1:D2"/>
    <mergeCell ref="B3:D3"/>
  </mergeCells>
  <phoneticPr fontId="55" type="noConversion"/>
  <dataValidations count="3">
    <dataValidation type="whole" allowBlank="1" showInputMessage="1" showErrorMessage="1" sqref="F8:G13" xr:uid="{70034866-8329-414A-8C86-9FF00D381320}">
      <formula1>0</formula1>
      <formula2>1000</formula2>
    </dataValidation>
    <dataValidation type="decimal" allowBlank="1" showInputMessage="1" showErrorMessage="1" sqref="D8:D13" xr:uid="{899AEB54-3B4C-4BAF-AF93-32FC01B334F0}">
      <formula1>0</formula1>
      <formula2>2.6</formula2>
    </dataValidation>
    <dataValidation type="decimal" allowBlank="1" showInputMessage="1" showErrorMessage="1" sqref="E8:E13" xr:uid="{7B5F66BD-5009-4FD1-9D39-23AF6B1DDF2E}">
      <formula1>0</formula1>
      <formula2>1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I16"/>
  <sheetViews>
    <sheetView workbookViewId="0">
      <selection activeCell="A12" sqref="A12:A13"/>
    </sheetView>
  </sheetViews>
  <sheetFormatPr baseColWidth="10" defaultRowHeight="15" x14ac:dyDescent="0.25"/>
  <cols>
    <col min="1" max="1" width="47.85546875" bestFit="1" customWidth="1"/>
    <col min="2" max="2" width="23.42578125" customWidth="1"/>
    <col min="3" max="3" width="20.5703125" customWidth="1"/>
    <col min="4" max="4" width="21.85546875" customWidth="1"/>
    <col min="5" max="5" width="12.85546875" style="60" customWidth="1"/>
    <col min="6" max="9" width="12.140625" style="60" customWidth="1"/>
  </cols>
  <sheetData>
    <row r="1" spans="1:9" ht="25.5" x14ac:dyDescent="0.25">
      <c r="A1" s="218"/>
      <c r="B1" s="209" t="str">
        <f>control!C1</f>
        <v>Cuadro de mando para la determinación de alcalinidad en agua</v>
      </c>
      <c r="C1" s="210"/>
      <c r="D1" s="211"/>
      <c r="E1" s="86" t="s">
        <v>115</v>
      </c>
      <c r="F1" s="80" t="str">
        <f>control!H1</f>
        <v>SOFT-TC-050</v>
      </c>
      <c r="I1"/>
    </row>
    <row r="2" spans="1:9" x14ac:dyDescent="0.25">
      <c r="A2" s="219"/>
      <c r="B2" s="212"/>
      <c r="C2" s="213"/>
      <c r="D2" s="214"/>
      <c r="E2" s="86" t="s">
        <v>118</v>
      </c>
      <c r="F2" s="80">
        <f>control!H2</f>
        <v>1</v>
      </c>
      <c r="I2"/>
    </row>
    <row r="3" spans="1:9" ht="26.25" x14ac:dyDescent="0.25">
      <c r="A3" s="220"/>
      <c r="B3" s="215" t="s">
        <v>85</v>
      </c>
      <c r="C3" s="216"/>
      <c r="D3" s="217"/>
      <c r="E3" s="87" t="s">
        <v>119</v>
      </c>
      <c r="F3" s="81">
        <f>control!H3</f>
        <v>43733</v>
      </c>
      <c r="I3"/>
    </row>
    <row r="5" spans="1:9" ht="21" x14ac:dyDescent="0.35">
      <c r="A5" s="221" t="s">
        <v>83</v>
      </c>
      <c r="B5" s="221"/>
      <c r="C5" s="221"/>
      <c r="D5" s="221"/>
    </row>
    <row r="6" spans="1:9" x14ac:dyDescent="0.25">
      <c r="A6" s="64" t="s">
        <v>62</v>
      </c>
      <c r="B6" s="77" t="s">
        <v>78</v>
      </c>
      <c r="C6" s="77" t="s">
        <v>79</v>
      </c>
      <c r="D6" s="77" t="s">
        <v>80</v>
      </c>
      <c r="E6"/>
      <c r="F6"/>
      <c r="G6"/>
      <c r="H6"/>
      <c r="I6"/>
    </row>
    <row r="7" spans="1:9" x14ac:dyDescent="0.25">
      <c r="A7" s="78" t="s">
        <v>65</v>
      </c>
      <c r="B7" s="89">
        <v>0.05</v>
      </c>
      <c r="C7" s="89">
        <v>0.1</v>
      </c>
      <c r="D7" s="89"/>
      <c r="E7"/>
      <c r="F7"/>
      <c r="G7"/>
      <c r="H7"/>
      <c r="I7"/>
    </row>
    <row r="8" spans="1:9" x14ac:dyDescent="0.25">
      <c r="H8" s="61"/>
      <c r="I8" s="61"/>
    </row>
    <row r="9" spans="1:9" ht="18.75" x14ac:dyDescent="0.3">
      <c r="A9" s="208" t="s">
        <v>81</v>
      </c>
      <c r="B9" s="208"/>
      <c r="C9" s="208"/>
      <c r="D9" s="208"/>
      <c r="E9" s="208"/>
      <c r="F9" s="208"/>
      <c r="G9" s="208"/>
      <c r="H9" s="62"/>
      <c r="I9" s="62"/>
    </row>
    <row r="10" spans="1:9" x14ac:dyDescent="0.25">
      <c r="A10" t="s">
        <v>148</v>
      </c>
      <c r="B10" s="57" t="s">
        <v>77</v>
      </c>
      <c r="C10" s="57" t="s">
        <v>75</v>
      </c>
      <c r="D10" s="57" t="s">
        <v>51</v>
      </c>
      <c r="E10" s="57" t="s">
        <v>74</v>
      </c>
      <c r="F10" s="57" t="s">
        <v>76</v>
      </c>
      <c r="G10" s="62"/>
      <c r="H10" s="62"/>
      <c r="I10"/>
    </row>
    <row r="11" spans="1:9" x14ac:dyDescent="0.25">
      <c r="A11" s="58" t="s">
        <v>122</v>
      </c>
      <c r="B11" s="91">
        <v>0.9</v>
      </c>
      <c r="C11" s="91">
        <v>0.95</v>
      </c>
      <c r="D11" s="91">
        <v>1</v>
      </c>
      <c r="E11" s="91">
        <v>1.05</v>
      </c>
      <c r="F11" s="91">
        <v>1.1000000000000001</v>
      </c>
      <c r="G11" s="62"/>
      <c r="H11" s="62"/>
      <c r="I11"/>
    </row>
    <row r="12" spans="1:9" x14ac:dyDescent="0.25">
      <c r="A12" s="58"/>
      <c r="B12" s="91"/>
      <c r="C12" s="91"/>
      <c r="D12" s="91"/>
      <c r="E12" s="91"/>
      <c r="F12" s="91"/>
      <c r="G12" s="62"/>
      <c r="H12" s="62"/>
      <c r="I12"/>
    </row>
    <row r="13" spans="1:9" x14ac:dyDescent="0.25">
      <c r="A13" s="58"/>
      <c r="B13" s="91"/>
      <c r="C13" s="91"/>
      <c r="D13" s="91"/>
      <c r="E13" s="91"/>
      <c r="F13" s="91"/>
      <c r="G13" s="62"/>
      <c r="H13" s="62"/>
      <c r="I13"/>
    </row>
    <row r="14" spans="1:9" x14ac:dyDescent="0.25">
      <c r="A14" s="58"/>
      <c r="B14" s="91"/>
      <c r="C14" s="91"/>
      <c r="D14" s="91"/>
      <c r="E14" s="91"/>
      <c r="F14" s="91"/>
      <c r="G14" s="62"/>
      <c r="H14" s="62"/>
      <c r="I14"/>
    </row>
    <row r="15" spans="1:9" x14ac:dyDescent="0.25">
      <c r="A15" s="58"/>
      <c r="B15" s="91"/>
      <c r="C15" s="91"/>
      <c r="D15" s="91"/>
      <c r="E15" s="91"/>
      <c r="F15" s="91"/>
      <c r="G15" s="62"/>
      <c r="H15" s="62"/>
      <c r="I15"/>
    </row>
    <row r="16" spans="1:9" x14ac:dyDescent="0.25">
      <c r="A16" s="58"/>
      <c r="B16" s="58"/>
      <c r="C16" s="58"/>
      <c r="D16" s="58"/>
      <c r="E16" s="66"/>
      <c r="F16" s="66"/>
      <c r="G16" s="66"/>
    </row>
  </sheetData>
  <sheetProtection algorithmName="SHA-512" hashValue="YG7XV7LY6o7Ah5HYflbN6621hdizWCjoWEI1zT+xtUSHvc6ACpSQXdA68BZ04w0x0NDzZi1EWprOMIDHm28N5g==" saltValue="MCumiaVXwffg7yNzt2oBCg==" spinCount="100000" sheet="1" autoFilter="0"/>
  <mergeCells count="5">
    <mergeCell ref="A9:G9"/>
    <mergeCell ref="B1:D2"/>
    <mergeCell ref="B3:D3"/>
    <mergeCell ref="A1:A3"/>
    <mergeCell ref="A5:D5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6435-54F7-4F72-9B79-CE4983CF5256}">
  <dimension ref="A1:A5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63</v>
      </c>
    </row>
    <row r="2" spans="1:1" x14ac:dyDescent="0.25">
      <c r="A2" t="s">
        <v>65</v>
      </c>
    </row>
    <row r="3" spans="1:1" x14ac:dyDescent="0.25">
      <c r="A3" t="s">
        <v>139</v>
      </c>
    </row>
    <row r="4" spans="1:1" x14ac:dyDescent="0.25">
      <c r="A4" t="s">
        <v>121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A455-6D95-4155-85EE-CDBDA29D8596}">
  <dimension ref="A1:AG7"/>
  <sheetViews>
    <sheetView workbookViewId="0">
      <selection activeCell="F10" sqref="F10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12" bestFit="1" customWidth="1"/>
    <col min="4" max="4" width="5.85546875" bestFit="1" customWidth="1"/>
    <col min="5" max="5" width="6" bestFit="1" customWidth="1"/>
    <col min="6" max="6" width="13.140625" bestFit="1" customWidth="1"/>
    <col min="7" max="7" width="6.42578125" bestFit="1" customWidth="1"/>
    <col min="8" max="8" width="6.28515625" bestFit="1" customWidth="1"/>
    <col min="9" max="9" width="6.28515625" customWidth="1"/>
    <col min="10" max="10" width="27.85546875" bestFit="1" customWidth="1"/>
    <col min="11" max="11" width="28" bestFit="1" customWidth="1"/>
    <col min="12" max="12" width="35.42578125" bestFit="1" customWidth="1"/>
    <col min="13" max="13" width="28.42578125" bestFit="1" customWidth="1"/>
    <col min="14" max="14" width="28.28515625" bestFit="1" customWidth="1"/>
    <col min="15" max="15" width="6.5703125" bestFit="1" customWidth="1"/>
    <col min="16" max="16" width="21.28515625" bestFit="1" customWidth="1"/>
    <col min="17" max="17" width="20.85546875" bestFit="1" customWidth="1"/>
    <col min="18" max="18" width="22.28515625" bestFit="1" customWidth="1"/>
    <col min="19" max="19" width="25.42578125" bestFit="1" customWidth="1"/>
    <col min="20" max="20" width="24.7109375" bestFit="1" customWidth="1"/>
    <col min="21" max="21" width="12" bestFit="1" customWidth="1"/>
    <col min="22" max="22" width="6.5703125" bestFit="1" customWidth="1"/>
    <col min="23" max="23" width="23.85546875" bestFit="1" customWidth="1"/>
    <col min="24" max="24" width="22" bestFit="1" customWidth="1"/>
    <col min="25" max="25" width="14.42578125" bestFit="1" customWidth="1"/>
    <col min="26" max="26" width="7" bestFit="1" customWidth="1"/>
    <col min="27" max="27" width="5.85546875" bestFit="1" customWidth="1"/>
    <col min="28" max="28" width="6" bestFit="1" customWidth="1"/>
    <col min="29" max="29" width="13.140625" bestFit="1" customWidth="1"/>
    <col min="30" max="30" width="6.42578125" bestFit="1" customWidth="1"/>
    <col min="31" max="31" width="6.28515625" customWidth="1"/>
    <col min="32" max="32" width="8.140625" bestFit="1" customWidth="1"/>
  </cols>
  <sheetData>
    <row r="1" spans="1:33" ht="24.75" customHeight="1" x14ac:dyDescent="0.25">
      <c r="A1" s="188"/>
      <c r="B1" s="189"/>
      <c r="C1" s="237" t="str">
        <f>control!C1</f>
        <v>Cuadro de mando para la determinación de alcalinidad en agua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9"/>
      <c r="Z1" s="231" t="s">
        <v>115</v>
      </c>
      <c r="AA1" s="232"/>
      <c r="AB1" s="232"/>
      <c r="AC1" s="233"/>
      <c r="AD1" s="225" t="str">
        <f>control!H1</f>
        <v>SOFT-TC-050</v>
      </c>
      <c r="AE1" s="226"/>
      <c r="AF1" s="226"/>
      <c r="AG1" s="227"/>
    </row>
    <row r="2" spans="1:33" ht="20.25" customHeight="1" x14ac:dyDescent="0.25">
      <c r="A2" s="188"/>
      <c r="B2" s="189"/>
      <c r="C2" s="237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9"/>
      <c r="Z2" s="231" t="s">
        <v>116</v>
      </c>
      <c r="AA2" s="232"/>
      <c r="AB2" s="232"/>
      <c r="AC2" s="233"/>
      <c r="AD2" s="225">
        <f>control!H2</f>
        <v>1</v>
      </c>
      <c r="AE2" s="226"/>
      <c r="AF2" s="226"/>
      <c r="AG2" s="227"/>
    </row>
    <row r="3" spans="1:33" ht="23.25" customHeight="1" x14ac:dyDescent="0.25">
      <c r="A3" s="188"/>
      <c r="B3" s="189"/>
      <c r="C3" s="222" t="s">
        <v>85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4"/>
      <c r="Z3" s="234" t="s">
        <v>117</v>
      </c>
      <c r="AA3" s="235"/>
      <c r="AB3" s="235"/>
      <c r="AC3" s="236"/>
      <c r="AD3" s="228">
        <f>control!H3</f>
        <v>43733</v>
      </c>
      <c r="AE3" s="229"/>
      <c r="AF3" s="229"/>
      <c r="AG3" s="230"/>
    </row>
    <row r="5" spans="1:33" hidden="1" x14ac:dyDescent="0.25">
      <c r="A5" t="str">
        <f>"GRAFICO CONTROL DE RECUPERACION PARA EL ESTANDAR DE CONTROL ENTRE "&amp;TEXT(K5,"YYYY-MM-DD")&amp;" Y "&amp;TEXT(L5,"YYYY-MM-DD")</f>
        <v>GRAFICO CONTROL DE RECUPERACION PARA EL ESTANDAR DE CONTROL ENTRE 2019-09-19 Y 2019-09-19</v>
      </c>
      <c r="K5">
        <f>MIN(RECUPERACION[FECHA DE ANALISIS])</f>
        <v>43727</v>
      </c>
      <c r="L5">
        <f>MAX(RECUPERACION[FECHA DE ANALISIS])</f>
        <v>43727</v>
      </c>
    </row>
    <row r="6" spans="1:33" x14ac:dyDescent="0.25">
      <c r="A6" t="s">
        <v>8</v>
      </c>
      <c r="B6" t="s">
        <v>2</v>
      </c>
      <c r="C6" t="s">
        <v>147</v>
      </c>
      <c r="D6" s="63" t="s">
        <v>77</v>
      </c>
      <c r="E6" s="63" t="s">
        <v>75</v>
      </c>
      <c r="F6" s="63" t="s">
        <v>51</v>
      </c>
      <c r="G6" s="63" t="s">
        <v>74</v>
      </c>
      <c r="H6" s="63" t="s">
        <v>76</v>
      </c>
    </row>
    <row r="7" spans="1:33" x14ac:dyDescent="0.25">
      <c r="A7" s="53" t="s">
        <v>122</v>
      </c>
      <c r="B7" s="101">
        <v>43727</v>
      </c>
      <c r="C7" s="65">
        <v>0.42357553419580352</v>
      </c>
      <c r="D7" s="65">
        <v>0.9</v>
      </c>
      <c r="E7" s="65">
        <v>0.95</v>
      </c>
      <c r="F7" s="65">
        <v>1</v>
      </c>
      <c r="G7" s="65">
        <v>1.05</v>
      </c>
      <c r="H7" s="65">
        <v>1.1000000000000001</v>
      </c>
    </row>
  </sheetData>
  <mergeCells count="9">
    <mergeCell ref="C3:Y3"/>
    <mergeCell ref="A1:B3"/>
    <mergeCell ref="AD1:AG1"/>
    <mergeCell ref="AD2:AG2"/>
    <mergeCell ref="AD3:AG3"/>
    <mergeCell ref="Z1:AC1"/>
    <mergeCell ref="Z2:AC2"/>
    <mergeCell ref="Z3:AC3"/>
    <mergeCell ref="C1:Y2"/>
  </mergeCells>
  <phoneticPr fontId="55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20A3-8AEB-4CF2-BC2C-7CA9C722FA2E}">
  <dimension ref="A1:Q7"/>
  <sheetViews>
    <sheetView workbookViewId="0">
      <selection activeCell="G7" sqref="G7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19.42578125" bestFit="1" customWidth="1"/>
    <col min="4" max="4" width="33" bestFit="1" customWidth="1"/>
    <col min="5" max="5" width="25" bestFit="1" customWidth="1"/>
    <col min="6" max="6" width="45.42578125" bestFit="1" customWidth="1"/>
    <col min="7" max="7" width="12" bestFit="1" customWidth="1"/>
    <col min="8" max="8" width="9.42578125" bestFit="1" customWidth="1"/>
    <col min="9" max="9" width="8.42578125" bestFit="1" customWidth="1"/>
    <col min="10" max="10" width="50.85546875" bestFit="1" customWidth="1"/>
    <col min="11" max="11" width="8.42578125" bestFit="1" customWidth="1"/>
    <col min="12" max="13" width="17.140625" bestFit="1" customWidth="1"/>
    <col min="14" max="14" width="5.28515625" bestFit="1" customWidth="1"/>
    <col min="15" max="15" width="5.42578125" bestFit="1" customWidth="1"/>
    <col min="16" max="16" width="14.85546875" bestFit="1" customWidth="1"/>
    <col min="17" max="17" width="8.42578125" bestFit="1" customWidth="1"/>
    <col min="18" max="18" width="12" bestFit="1" customWidth="1"/>
    <col min="19" max="19" width="25" bestFit="1" customWidth="1"/>
  </cols>
  <sheetData>
    <row r="1" spans="1:17" ht="24.75" customHeight="1" x14ac:dyDescent="0.25">
      <c r="A1" s="88"/>
      <c r="B1" s="240" t="str">
        <f>control!C1</f>
        <v>Cuadro de mando para la determinación de alcalinidad en agua</v>
      </c>
      <c r="C1" s="241"/>
      <c r="D1" s="241"/>
      <c r="E1" s="241"/>
      <c r="F1" s="241"/>
      <c r="G1" s="241"/>
      <c r="H1" s="241"/>
      <c r="I1" s="241"/>
      <c r="J1" s="241"/>
      <c r="K1" s="241"/>
      <c r="L1" s="242"/>
      <c r="M1" s="253" t="s">
        <v>115</v>
      </c>
      <c r="N1" s="254"/>
      <c r="O1" s="255"/>
      <c r="P1" s="249" t="str">
        <f>control!H1</f>
        <v>SOFT-TC-050</v>
      </c>
      <c r="Q1" s="250"/>
    </row>
    <row r="2" spans="1:17" ht="20.25" customHeight="1" x14ac:dyDescent="0.25">
      <c r="A2" s="88"/>
      <c r="B2" s="243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253" t="s">
        <v>116</v>
      </c>
      <c r="N2" s="254"/>
      <c r="O2" s="255"/>
      <c r="P2" s="249">
        <f>control!H2</f>
        <v>1</v>
      </c>
      <c r="Q2" s="250"/>
    </row>
    <row r="3" spans="1:17" ht="23.25" customHeight="1" x14ac:dyDescent="0.25">
      <c r="A3" s="88"/>
      <c r="B3" s="246" t="s">
        <v>85</v>
      </c>
      <c r="C3" s="247"/>
      <c r="D3" s="247"/>
      <c r="E3" s="247"/>
      <c r="F3" s="247"/>
      <c r="G3" s="247"/>
      <c r="H3" s="247"/>
      <c r="I3" s="247"/>
      <c r="J3" s="247"/>
      <c r="K3" s="247"/>
      <c r="L3" s="248"/>
      <c r="M3" s="256" t="s">
        <v>117</v>
      </c>
      <c r="N3" s="257"/>
      <c r="O3" s="258"/>
      <c r="P3" s="251">
        <f>control!H3</f>
        <v>43733</v>
      </c>
      <c r="Q3" s="252"/>
    </row>
    <row r="5" spans="1:17" hidden="1" x14ac:dyDescent="0.25">
      <c r="A5" t="str">
        <f>"GRAFICO DE PRECISION "&amp; " ENTRE "&amp;TEXT(N5,"yyyy-MM-DD") &amp;" Y "&amp; TEXT(Q5,"YYYY-MM-DD")</f>
        <v>GRAFICO DE PRECISION  ENTRE 2019-09-19 Y 2019-09-19</v>
      </c>
      <c r="N5">
        <f>MIN(PRECISION[FECHA DE ANALISIS])</f>
        <v>43727</v>
      </c>
      <c r="Q5">
        <f>MAX(PRECISION[FECHA DE ANALISIS])</f>
        <v>43727</v>
      </c>
    </row>
    <row r="6" spans="1:17" x14ac:dyDescent="0.25">
      <c r="A6" t="s">
        <v>8</v>
      </c>
      <c r="B6" t="s">
        <v>2</v>
      </c>
      <c r="C6" t="s">
        <v>62</v>
      </c>
      <c r="D6" t="s">
        <v>144</v>
      </c>
      <c r="E6" t="s">
        <v>66</v>
      </c>
      <c r="F6" t="s">
        <v>145</v>
      </c>
      <c r="G6" t="s">
        <v>84</v>
      </c>
      <c r="H6" s="59"/>
    </row>
    <row r="7" spans="1:17" x14ac:dyDescent="0.25">
      <c r="A7" s="53" t="s">
        <v>136</v>
      </c>
      <c r="B7" s="53">
        <v>43727</v>
      </c>
      <c r="C7" s="53" t="s">
        <v>64</v>
      </c>
      <c r="D7">
        <v>19.529486127551046</v>
      </c>
      <c r="E7" t="s">
        <v>67</v>
      </c>
      <c r="F7">
        <v>19.529486127551007</v>
      </c>
      <c r="G7" s="57">
        <v>2.0010690609864001E-15</v>
      </c>
      <c r="H7" s="59"/>
    </row>
  </sheetData>
  <mergeCells count="8">
    <mergeCell ref="B1:L2"/>
    <mergeCell ref="B3:L3"/>
    <mergeCell ref="P1:Q1"/>
    <mergeCell ref="P2:Q2"/>
    <mergeCell ref="P3:Q3"/>
    <mergeCell ref="M1:O1"/>
    <mergeCell ref="M2:O2"/>
    <mergeCell ref="M3:O3"/>
  </mergeCells>
  <phoneticPr fontId="55" type="noConversion"/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N43"/>
  <sheetViews>
    <sheetView workbookViewId="0">
      <selection activeCell="F5" sqref="F5"/>
    </sheetView>
  </sheetViews>
  <sheetFormatPr baseColWidth="10" defaultRowHeight="15" x14ac:dyDescent="0.25"/>
  <cols>
    <col min="1" max="1" width="18" customWidth="1"/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4" ht="24.75" customHeight="1" x14ac:dyDescent="0.25">
      <c r="A1" s="88"/>
      <c r="B1" s="237" t="str">
        <f>control!C1</f>
        <v>Cuadro de mando para la determinación de alcalinidad en agua</v>
      </c>
      <c r="C1" s="238"/>
      <c r="D1" s="238"/>
      <c r="E1" s="238"/>
      <c r="F1" s="238"/>
      <c r="G1" s="238"/>
      <c r="H1" s="238"/>
      <c r="I1" s="239"/>
      <c r="J1" s="94" t="s">
        <v>115</v>
      </c>
      <c r="K1" s="95" t="str">
        <f>control!H1</f>
        <v>SOFT-TC-050</v>
      </c>
    </row>
    <row r="2" spans="1:14" ht="20.25" customHeight="1" x14ac:dyDescent="0.25">
      <c r="A2" s="88"/>
      <c r="B2" s="237"/>
      <c r="C2" s="238"/>
      <c r="D2" s="238"/>
      <c r="E2" s="238"/>
      <c r="F2" s="238"/>
      <c r="G2" s="238"/>
      <c r="H2" s="238"/>
      <c r="I2" s="239"/>
      <c r="J2" s="94" t="s">
        <v>116</v>
      </c>
      <c r="K2" s="95">
        <f>control!H2</f>
        <v>1</v>
      </c>
    </row>
    <row r="3" spans="1:14" ht="23.25" customHeight="1" x14ac:dyDescent="0.35">
      <c r="A3" s="88"/>
      <c r="B3" s="269" t="s">
        <v>85</v>
      </c>
      <c r="C3" s="270"/>
      <c r="D3" s="270"/>
      <c r="E3" s="270"/>
      <c r="F3" s="270"/>
      <c r="G3" s="270"/>
      <c r="H3" s="270"/>
      <c r="I3" s="271"/>
      <c r="J3" s="96" t="s">
        <v>117</v>
      </c>
      <c r="K3" s="97">
        <f>control!H3</f>
        <v>43733</v>
      </c>
    </row>
    <row r="4" spans="1:14" ht="23.25" x14ac:dyDescent="0.35">
      <c r="A4" s="274" t="s">
        <v>19</v>
      </c>
      <c r="B4" s="274"/>
      <c r="C4" s="274"/>
      <c r="D4" s="274"/>
      <c r="E4" s="274"/>
      <c r="F4" s="274"/>
      <c r="G4" s="274"/>
      <c r="H4" s="274"/>
      <c r="I4" s="274"/>
    </row>
    <row r="5" spans="1:14" ht="24" thickBot="1" x14ac:dyDescent="0.4">
      <c r="A5" s="92"/>
      <c r="B5" s="93"/>
      <c r="C5" s="92" t="s">
        <v>20</v>
      </c>
      <c r="E5" s="93"/>
      <c r="F5" s="93" t="str">
        <f>'Cuadro de mando'!C5</f>
        <v>SM 2320 B Ed 23</v>
      </c>
      <c r="G5" s="93"/>
      <c r="H5" s="93"/>
      <c r="I5" s="93"/>
    </row>
    <row r="6" spans="1:14" x14ac:dyDescent="0.25">
      <c r="A6" s="261" t="s">
        <v>56</v>
      </c>
      <c r="B6" s="262"/>
      <c r="C6" s="262"/>
      <c r="D6" s="263"/>
      <c r="F6" s="266" t="s">
        <v>57</v>
      </c>
      <c r="G6" s="267"/>
      <c r="H6" s="268"/>
      <c r="I6" s="22"/>
      <c r="J6" s="266" t="s">
        <v>58</v>
      </c>
      <c r="K6" s="268"/>
      <c r="M6" s="266" t="s">
        <v>59</v>
      </c>
      <c r="N6" s="268"/>
    </row>
    <row r="7" spans="1:14" ht="18.75" thickBot="1" x14ac:dyDescent="0.4">
      <c r="A7" s="275" t="s">
        <v>21</v>
      </c>
      <c r="B7" s="275"/>
      <c r="C7" s="275"/>
      <c r="D7" s="275"/>
      <c r="J7" s="40" t="s">
        <v>44</v>
      </c>
      <c r="K7" s="48">
        <f>SQRT(SUMSQ(G24,C43))</f>
        <v>6.4673644151959572E-2</v>
      </c>
      <c r="M7" s="26" t="s">
        <v>8</v>
      </c>
      <c r="N7" s="52" t="s">
        <v>17</v>
      </c>
    </row>
    <row r="8" spans="1:14" ht="15.75" thickBot="1" x14ac:dyDescent="0.3">
      <c r="A8" s="23" t="s">
        <v>24</v>
      </c>
      <c r="B8" s="24" t="s">
        <v>14</v>
      </c>
      <c r="C8" s="25" t="s">
        <v>25</v>
      </c>
      <c r="F8" s="266" t="s">
        <v>22</v>
      </c>
      <c r="G8" s="267"/>
      <c r="H8" s="268"/>
      <c r="M8" s="26" t="s">
        <v>60</v>
      </c>
      <c r="N8" s="4"/>
    </row>
    <row r="9" spans="1:14" x14ac:dyDescent="0.25">
      <c r="A9" s="31">
        <v>1</v>
      </c>
      <c r="B9" s="27"/>
      <c r="C9" s="45">
        <v>3.4338000000000002</v>
      </c>
      <c r="F9" s="26" t="s">
        <v>26</v>
      </c>
      <c r="G9" s="27" t="s">
        <v>27</v>
      </c>
      <c r="H9" s="28"/>
      <c r="J9" s="266" t="s">
        <v>45</v>
      </c>
      <c r="K9" s="268"/>
      <c r="M9" s="26" t="s">
        <v>48</v>
      </c>
      <c r="N9" s="4">
        <v>3.5455999999999999</v>
      </c>
    </row>
    <row r="10" spans="1:14" ht="18.75" thickBot="1" x14ac:dyDescent="0.4">
      <c r="A10" s="31">
        <v>2</v>
      </c>
      <c r="B10" s="27"/>
      <c r="C10" s="45">
        <v>3.5695000000000001</v>
      </c>
      <c r="F10" s="26" t="s">
        <v>15</v>
      </c>
      <c r="G10" s="27" t="s">
        <v>30</v>
      </c>
      <c r="H10" s="28"/>
      <c r="J10" s="26" t="s">
        <v>46</v>
      </c>
      <c r="K10" s="4">
        <v>2</v>
      </c>
      <c r="M10" s="40" t="s">
        <v>49</v>
      </c>
      <c r="N10" s="39">
        <f>N9*K11</f>
        <v>0.45861374541037569</v>
      </c>
    </row>
    <row r="11" spans="1:14" ht="18.75" thickBot="1" x14ac:dyDescent="0.4">
      <c r="A11" s="31">
        <v>3</v>
      </c>
      <c r="B11" s="27"/>
      <c r="C11" s="45">
        <v>3.3948</v>
      </c>
      <c r="F11" s="26" t="s">
        <v>32</v>
      </c>
      <c r="G11" s="49">
        <v>43313</v>
      </c>
      <c r="H11" s="34"/>
      <c r="J11" s="40" t="s">
        <v>47</v>
      </c>
      <c r="K11" s="48">
        <f>K7*K10</f>
        <v>0.12934728830391914</v>
      </c>
    </row>
    <row r="12" spans="1:14" ht="15.75" thickBot="1" x14ac:dyDescent="0.3">
      <c r="A12" s="31">
        <v>4</v>
      </c>
      <c r="B12" s="27"/>
      <c r="C12" s="45">
        <v>3.39</v>
      </c>
      <c r="F12" s="266" t="s">
        <v>54</v>
      </c>
      <c r="G12" s="267"/>
      <c r="H12" s="268"/>
    </row>
    <row r="13" spans="1:14" ht="18.75" thickBot="1" x14ac:dyDescent="0.4">
      <c r="A13" s="31">
        <v>5</v>
      </c>
      <c r="B13" s="27"/>
      <c r="C13" s="45">
        <v>3.9512999999999998</v>
      </c>
      <c r="F13" s="26" t="s">
        <v>34</v>
      </c>
      <c r="G13" s="9">
        <v>3.62</v>
      </c>
      <c r="H13" s="37" t="s">
        <v>7</v>
      </c>
      <c r="J13" s="264" t="s">
        <v>23</v>
      </c>
      <c r="K13" s="265"/>
    </row>
    <row r="14" spans="1:14" ht="18.75" thickBot="1" x14ac:dyDescent="0.4">
      <c r="A14" s="31">
        <v>6</v>
      </c>
      <c r="B14" s="27"/>
      <c r="C14" s="45">
        <v>3.9098000000000002</v>
      </c>
      <c r="F14" s="26" t="s">
        <v>36</v>
      </c>
      <c r="G14" s="9">
        <v>0.09</v>
      </c>
      <c r="H14" s="37" t="s">
        <v>7</v>
      </c>
      <c r="J14" s="29" t="s">
        <v>28</v>
      </c>
      <c r="K14" s="30" t="s">
        <v>29</v>
      </c>
    </row>
    <row r="15" spans="1:14" ht="15.75" thickBot="1" x14ac:dyDescent="0.3">
      <c r="A15" s="31">
        <v>7</v>
      </c>
      <c r="B15" s="27"/>
      <c r="C15" s="45">
        <v>3.4238</v>
      </c>
      <c r="F15" s="40" t="s">
        <v>37</v>
      </c>
      <c r="G15" s="10">
        <v>2</v>
      </c>
      <c r="H15" s="41"/>
      <c r="J15" s="32" t="s">
        <v>31</v>
      </c>
      <c r="K15" s="33">
        <f>G17</f>
        <v>1.2430939226519336E-2</v>
      </c>
    </row>
    <row r="16" spans="1:14" ht="18" x14ac:dyDescent="0.35">
      <c r="A16" s="31">
        <v>8</v>
      </c>
      <c r="B16" s="27"/>
      <c r="C16" s="45">
        <v>3.5695000000000001</v>
      </c>
      <c r="F16" s="26" t="s">
        <v>38</v>
      </c>
      <c r="G16" s="50">
        <f>G14/G15</f>
        <v>4.4999999999999998E-2</v>
      </c>
      <c r="H16" s="50" t="s">
        <v>7</v>
      </c>
      <c r="J16" s="35" t="s">
        <v>33</v>
      </c>
      <c r="K16" s="36">
        <f>G24</f>
        <v>2.9621139090182432E-2</v>
      </c>
    </row>
    <row r="17" spans="1:11" ht="18.75" thickBot="1" x14ac:dyDescent="0.4">
      <c r="A17" s="31">
        <v>9</v>
      </c>
      <c r="B17" s="27"/>
      <c r="C17" s="45">
        <v>3.5598000000000001</v>
      </c>
      <c r="F17" s="40" t="s">
        <v>39</v>
      </c>
      <c r="G17" s="51">
        <f>G16/G13</f>
        <v>1.2430939226519336E-2</v>
      </c>
      <c r="H17" s="51"/>
      <c r="J17" s="38" t="s">
        <v>35</v>
      </c>
      <c r="K17" s="39">
        <f>C43</f>
        <v>5.7491463426271913E-2</v>
      </c>
    </row>
    <row r="18" spans="1:11" ht="15.75" thickBot="1" x14ac:dyDescent="0.3">
      <c r="A18" s="31">
        <v>10</v>
      </c>
      <c r="B18" s="27"/>
      <c r="C18" s="45">
        <v>3.4045000000000001</v>
      </c>
    </row>
    <row r="19" spans="1:11" x14ac:dyDescent="0.25">
      <c r="A19" s="31">
        <v>11</v>
      </c>
      <c r="B19" s="27"/>
      <c r="C19" s="45">
        <v>3.3948</v>
      </c>
      <c r="F19" s="266" t="s">
        <v>55</v>
      </c>
      <c r="G19" s="267"/>
      <c r="H19" s="268"/>
    </row>
    <row r="20" spans="1:11" ht="18" x14ac:dyDescent="0.35">
      <c r="A20" s="31">
        <v>12</v>
      </c>
      <c r="B20" s="27"/>
      <c r="C20" s="45"/>
      <c r="F20" s="26" t="s">
        <v>40</v>
      </c>
      <c r="G20" s="8">
        <f>C41-G13</f>
        <v>-7.4400000000000244E-2</v>
      </c>
      <c r="H20" s="4" t="s">
        <v>7</v>
      </c>
    </row>
    <row r="21" spans="1:11" ht="18.75" thickBot="1" x14ac:dyDescent="0.4">
      <c r="A21" s="31">
        <v>13</v>
      </c>
      <c r="B21" s="27"/>
      <c r="C21" s="45"/>
      <c r="F21" s="40" t="s">
        <v>41</v>
      </c>
      <c r="G21" s="47">
        <f>G20/G13</f>
        <v>-2.0552486187845369E-2</v>
      </c>
      <c r="H21" s="6"/>
    </row>
    <row r="22" spans="1:11" ht="15.75" thickBot="1" x14ac:dyDescent="0.3">
      <c r="A22" s="31">
        <v>14</v>
      </c>
      <c r="B22" s="27"/>
      <c r="C22" s="45"/>
    </row>
    <row r="23" spans="1:11" x14ac:dyDescent="0.25">
      <c r="A23" s="31">
        <v>15</v>
      </c>
      <c r="B23" s="27"/>
      <c r="C23" s="45"/>
      <c r="F23" s="266" t="s">
        <v>42</v>
      </c>
      <c r="G23" s="267"/>
      <c r="H23" s="268"/>
    </row>
    <row r="24" spans="1:11" ht="18.75" thickBot="1" x14ac:dyDescent="0.4">
      <c r="A24" s="31">
        <v>16</v>
      </c>
      <c r="B24" s="27"/>
      <c r="C24" s="45"/>
      <c r="F24" s="40" t="s">
        <v>43</v>
      </c>
      <c r="G24" s="47">
        <f>SQRT(G21^2+(C43/SQRT(COUNT(C9:C38)))^2+G17^2)</f>
        <v>2.9621139090182432E-2</v>
      </c>
      <c r="H24" s="6"/>
    </row>
    <row r="25" spans="1:11" x14ac:dyDescent="0.25">
      <c r="A25" s="31">
        <v>17</v>
      </c>
      <c r="B25" s="27"/>
      <c r="C25" s="45"/>
    </row>
    <row r="26" spans="1:11" x14ac:dyDescent="0.25">
      <c r="A26" s="31">
        <v>18</v>
      </c>
      <c r="B26" s="27"/>
      <c r="C26" s="45"/>
    </row>
    <row r="27" spans="1:11" x14ac:dyDescent="0.25">
      <c r="A27" s="31">
        <v>19</v>
      </c>
      <c r="B27" s="27"/>
      <c r="C27" s="45"/>
    </row>
    <row r="28" spans="1:11" x14ac:dyDescent="0.25">
      <c r="A28" s="31">
        <v>20</v>
      </c>
      <c r="B28" s="27"/>
      <c r="C28" s="45"/>
      <c r="H28" s="42"/>
    </row>
    <row r="29" spans="1:11" x14ac:dyDescent="0.25">
      <c r="A29" s="31">
        <v>21</v>
      </c>
      <c r="B29" s="27"/>
      <c r="C29" s="45"/>
    </row>
    <row r="30" spans="1:11" x14ac:dyDescent="0.25">
      <c r="A30" s="31">
        <v>22</v>
      </c>
      <c r="B30" s="27"/>
      <c r="C30" s="45"/>
    </row>
    <row r="31" spans="1:11" x14ac:dyDescent="0.25">
      <c r="A31" s="31">
        <v>23</v>
      </c>
      <c r="B31" s="27"/>
      <c r="C31" s="45"/>
      <c r="H31" s="22"/>
    </row>
    <row r="32" spans="1:11" x14ac:dyDescent="0.25">
      <c r="A32" s="31">
        <v>24</v>
      </c>
      <c r="B32" s="27"/>
      <c r="C32" s="45"/>
    </row>
    <row r="33" spans="1:3" x14ac:dyDescent="0.25">
      <c r="A33" s="31">
        <v>25</v>
      </c>
      <c r="B33" s="27"/>
      <c r="C33" s="45"/>
    </row>
    <row r="34" spans="1:3" x14ac:dyDescent="0.25">
      <c r="A34" s="31">
        <v>26</v>
      </c>
      <c r="B34" s="27"/>
      <c r="C34" s="45"/>
    </row>
    <row r="35" spans="1:3" x14ac:dyDescent="0.25">
      <c r="A35" s="31">
        <v>27</v>
      </c>
      <c r="B35" s="27"/>
      <c r="C35" s="45"/>
    </row>
    <row r="36" spans="1:3" x14ac:dyDescent="0.25">
      <c r="A36" s="31">
        <v>28</v>
      </c>
      <c r="B36" s="27"/>
      <c r="C36" s="45"/>
    </row>
    <row r="37" spans="1:3" x14ac:dyDescent="0.25">
      <c r="A37" s="31">
        <v>29</v>
      </c>
      <c r="B37" s="27"/>
      <c r="C37" s="45"/>
    </row>
    <row r="38" spans="1:3" ht="15.75" thickBot="1" x14ac:dyDescent="0.3">
      <c r="A38" s="43">
        <v>30</v>
      </c>
      <c r="B38" s="44"/>
      <c r="C38" s="46"/>
    </row>
    <row r="39" spans="1:3" ht="15.75" thickBot="1" x14ac:dyDescent="0.3"/>
    <row r="40" spans="1:3" x14ac:dyDescent="0.25">
      <c r="A40" s="261" t="s">
        <v>50</v>
      </c>
      <c r="B40" s="262"/>
      <c r="C40" s="263"/>
    </row>
    <row r="41" spans="1:3" x14ac:dyDescent="0.25">
      <c r="A41" s="272" t="s">
        <v>51</v>
      </c>
      <c r="B41" s="273"/>
      <c r="C41" s="8">
        <f xml:space="preserve"> AVERAGE(C9:C38)</f>
        <v>3.5455999999999999</v>
      </c>
    </row>
    <row r="42" spans="1:3" x14ac:dyDescent="0.25">
      <c r="A42" s="272" t="s">
        <v>52</v>
      </c>
      <c r="B42" s="273"/>
      <c r="C42" s="8">
        <f>STDEV(C9:C38)</f>
        <v>0.20384173272418968</v>
      </c>
    </row>
    <row r="43" spans="1:3" ht="18.75" thickBot="1" x14ac:dyDescent="0.4">
      <c r="A43" s="259" t="s">
        <v>53</v>
      </c>
      <c r="B43" s="260"/>
      <c r="C43" s="8">
        <f>C42/C41</f>
        <v>5.7491463426271913E-2</v>
      </c>
    </row>
  </sheetData>
  <sheetProtection algorithmName="SHA-512" hashValue="Y31ako4id8AbxKB4Pr6ig++VIskEFnY6I9dn1z+cJEmKEmHTEMcrjb/h7oV64+xeBmre4QJ2/MnNkhvihbOUsQ==" saltValue="dzmKfXHBUE/Ck7+XS75ChA==" spinCount="100000" sheet="1" objects="1" scenarios="1"/>
  <mergeCells count="18">
    <mergeCell ref="B1:I2"/>
    <mergeCell ref="B3:I3"/>
    <mergeCell ref="M6:N6"/>
    <mergeCell ref="A41:B41"/>
    <mergeCell ref="A42:B42"/>
    <mergeCell ref="J6:K6"/>
    <mergeCell ref="J9:K9"/>
    <mergeCell ref="F8:H8"/>
    <mergeCell ref="A4:I4"/>
    <mergeCell ref="A6:D6"/>
    <mergeCell ref="F6:H6"/>
    <mergeCell ref="A7:D7"/>
    <mergeCell ref="A43:B43"/>
    <mergeCell ref="A40:C40"/>
    <mergeCell ref="J13:K13"/>
    <mergeCell ref="F12:H12"/>
    <mergeCell ref="F19:H19"/>
    <mergeCell ref="F23:H23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C o H A A B Q S w M E F A A C A A g A P X s 4 T 0 9 2 o I m m A A A A + A A A A B I A H A B D b 2 5 m a W c v U G F j a 2 F n Z S 5 4 b W w g o h g A K K A U A A A A A A A A A A A A A A A A A A A A A A A A A A A A h Y 8 x D o I w G E a v Q r r T l g p q y E 8 Z W C W a m B j X B i o 0 Q j G 0 W O 7 m 4 J G 8 g i S K u j l + L 2 9 4 3 + N 2 h 3 R s G + 8 q e 6 M 6 n a A A U + R J X X S l 0 l W C B n v y 1 y j l s B P F W V T S m 2 R t 4 t G U C a q t v c S E O O e w W + C u r w i j N C D H f L M v a t k K 9 J H V f 9 l X 2 l i h C 4 k 4 H F 4 x n O E V w 1 E U L X E Y B k B m D L n S X 4 V N x Z g C + Y G Q D Y 0 d e s m l 8 b M t k H k C e b / g T 1 B L A w Q U A A I A C A A 9 e z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X s 4 T w q Q g x M i B A A A M R I A A B M A H A B G b 3 J t d W x h c y 9 T Z W N 0 a W 9 u M S 5 t I K I Y A C i g F A A A A A A A A A A A A A A A A A A A A A A A A A A A A O 1 W 3 W 6 j R h S + j 5 R 3 G E 0 U C a u u t z i 9 q 7 b S 7 E C a a T F Y A 0 6 l j X y B 7 Y k X L Y Y U c L t d K 0 + x j 7 K P k B f r G Q g G 4 h n / b H N V 1 T e G 4 Z t z z n z z n Z 9 c z I s o T Z B f / Z s / n Z + d n + U f w k w s k D U Z O 4 w S y / P R W x S L 4 v w M w c / L o q V I Y M X + N B f x g K 6 z T C T F 7 2 n 2 c Z a m H 4 3 e 5 s 4 N V + I t D s J Z H J p 4 + n h H 0 6 Q A y L R f G b j A N I 3 X q y T M 0 R / r q A g X Y Y 7 B n M S L A R e r 9 E 9 R A X K j 8 t X f 4 F v P G a D R x P Y D T p C x i n u 4 j z D 1 X G q 7 s E K Z 5 6 I b G i P D L T + U a O Y y y o i z R X c W q c e 5 / Q u z v P b n y c h 2 k a l Y 2 U U / 3 C C z j R n u 7 B q q d w 3 l P 3 G J w / y A y G d u 3 z L / 6 Y t 8 9 N 7 5 N r 8 t T 2 P 7 c g G O 9 p 6 8 Y w 6 z i I U f e 1 v + r q M Y y L u P 4 i L r s u e L G O 6 R p 3 / l h o r l P h L h / A M y 7 o B H u F Z k 2 Q 7 i t j 9 x 5 N s U r G B C 7 b F 8 w T 0 U J g t A B m w s c T X 3 J W i r C 9 z r n Z 9 F i S 6 s t p a e 9 / + v p P + Y k l T 6 q N m F Z T 4 J m E t A J z q P p s b l y 8 B O k e 4 + U Z o d V V 5 g h 4 1 Y Y P t g i 0 7 G d i U A / M 0 i / b E t 0 i a K y k b X M Z 0 Q i 3 t o R F w I + Z W z 4 p h b f U 6 I V 6 K 1 w + o Y y G S + z C T V s a p I X J E X Y v F r G i V G X R o g O Z l V C 0 m K 9 t q m N 6 W K K p U z H z / 2 m 5 5 0 F L y p V Z A G 0 t t v U b I Y s C Q R W S N J X y D x 6 Q H q X f T 0 t d X 0 G t r s 8 m v 5 X K X C l r 2 O f b T B x K H g 2 5 V p h g I v I M 6 F E d / 3 V k t E Q + p d v Y k h J E A 1 m w a H N z R x j k W W p 0 k Y R 5 + B c h Q u M 7 G E h y Z M s l g 8 h 6 c / E 4 R s t O 2 k T W Z d n B T X 9 H v Y c B j V e 2 O c b P m 7 I y 0 P W 2 X l N o z T D I W z H A g o U j Q P 4 / k 6 l s f b s h N k Y Z L f p 9 m q b g l a Q v u b z S 5 J 7 n o 1 E 9 m A z P I + K v 5 + E C g p F x 5 b 9 x N E D 9 L z a h b t c x z A Z u l c G 7 H S P b z P I c f D J d g D A 2 2 3 2 + o 8 h z k u S V e z T C i i 4 C K B s t G c v R u s 0 i f m Y + s S g 6 t 2 4 u / 1 p q 6 t 2 3 r w L + r c 1 b G V t V 3 I v 9 n d l b K s n n K / 9 b y x w f w S d x U j K 8 C I + A S 5 4 R C 0 j I x l T 4 E Y T 7 j 9 v s F c q j D l I G I x Z 1 I e 9 n k 2 e A m 6 J j T w u K y L F f L p i 6 s y x Q c o s D 3 O q I d a W b Y L 3 H Y H P U y l z X p y M H U D 2 q 4 i X 3 t o M e t S B + U F L m W K f k Y / 7 I l U H + j O b A K h d s c g m T y 7 V 6 y 8 U / U l a m 5 N f 0 3 q e + n c R J K v 4 6 J M X K A 4 6 R 6 x 1 Y 7 V 4 1 6 n 2 Y I Q N J O T B M I w H X D P k S g d a N u J H X F f e O t C 2 4 1 1 4 5 m u L 2 v O q Y 9 k g x 3 K y u + k / B t z b 2 R b z K u W y n 7 p U L 9 q 2 y o T g 3 q 7 8 h v R f + s 4 U m / 2 9 d 9 k S J r G Y x 7 s P I c Z l n V r z 2 l f 1 o Q 9 h z 8 K 2 u L i S N P + 0 V D 6 E v q 6 n d M 8 x F W p r 0 M s l e o 7 i p 9 G o I f o K e V 7 i J h K 3 K d 0 + H 8 A U E s B A i 0 A F A A C A A g A P X s 4 T 0 9 2 o I m m A A A A + A A A A B I A A A A A A A A A A A A A A A A A A A A A A E N v b m Z p Z y 9 Q Y W N r Y W d l L n h t b F B L A Q I t A B Q A A g A I A D 1 7 O E 8 P y u m r p A A A A O k A A A A T A A A A A A A A A A A A A A A A A P I A A A B b Q 2 9 u d G V u d F 9 U e X B l c 1 0 u e G 1 s U E s B A i 0 A F A A C A A g A P X s 4 T w q Q g x M i B A A A M R I A A B M A A A A A A A A A A A A A A A A A 4 w E A A E Z v c m 1 1 b G F z L 1 N l Y 3 R p b 2 4 x L m 1 Q S w U G A A A A A A M A A w D C A A A A U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F Y A A A A A A A D a V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F V Q T E l D Q U R P U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S I g L z 4 8 R W 5 0 c n k g V H l w Z T 0 i U X V l c n l J R C I g V m F s d W U 9 I n N m O D k 1 O T B i M y 0 1 Z m F i L T Q 5 O D k t Y W M 5 M C 1 l O W M 5 M T A w Y 2 I w N T U i I C 8 + P E V u d H J 5 I F R 5 c G U 9 I k Z p b G x M Y X N 0 V X B k Y X R l Z C I g V m F s d W U 9 I m Q y M D E 5 L T A 5 L T I 0 V D E 4 O j M w O j A y L j c 4 N z c y N j l a I i A v P j x F b n R y e S B U e X B l P S J G a W x s Q 2 9 s d W 1 u V H l w Z X M i I F Z h b H V l P S J z Q U F B Q U F B Q U F B Q T 0 9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V B M S U N B R E 9 T L 0 9 y a W d l b i 5 7 S U Q g T V V F U 1 R S Q S w w f S Z x d W 9 0 O y w m c X V v d D t T Z W N 0 a W 9 u M S 9 E V V B M S U N B R E 9 T L 0 9 y a W d l b i 5 7 R k V D S E E g R E U g Q U 5 B T E l T S V M s M X 0 m c X V v d D s s J n F 1 b 3 Q 7 U 2 V j d G l v b j E v R F V Q T E l D Q U R P U y 9 P c m l n Z W 4 u e 1 R J U E 8 g R E U g T V V F U 1 R S Q S w y f S Z x d W 9 0 O y w m c X V v d D t T Z W N 0 a W 9 u M S 9 E V V B M S U N B R E 9 T L 0 9 y a W d l b i 5 7 T U F U U k l a L D N 9 J n F 1 b 3 Q 7 L C Z x d W 9 0 O 1 N l Y 3 R p b 2 4 x L 0 R V U E x J Q 0 F E T 1 M v T 3 J p Z 2 V u L n t Q c m 9 0 Z W l u Y S A o J S k s M T J 9 J n F 1 b 3 Q 7 L C Z x d W 9 0 O 1 N l Y 3 R p b 2 4 x L 0 R V U E x J Q 0 F E T 1 M v T 3 J p Z 2 V u L n t B T k F M S V N U Q S w x M 3 0 m c X V v d D s s J n F 1 b 3 Q 7 U 2 V j d G l v b j E v R F V Q T E l D Q U R P U y 9 P c m l n Z W 4 u e 0 V T V E F E T y B E R U w g U k V T V U x U Q U R P L D E 0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E V V B M S U N B R E 9 T L 0 9 y a W d l b i 5 7 S U Q g T V V F U 1 R S Q S w w f S Z x d W 9 0 O y w m c X V v d D t T Z W N 0 a W 9 u M S 9 E V V B M S U N B R E 9 T L 0 9 y a W d l b i 5 7 R k V D S E E g R E U g Q U 5 B T E l T S V M s M X 0 m c X V v d D s s J n F 1 b 3 Q 7 U 2 V j d G l v b j E v R F V Q T E l D Q U R P U y 9 P c m l n Z W 4 u e 1 R J U E 8 g R E U g T V V F U 1 R S Q S w y f S Z x d W 9 0 O y w m c X V v d D t T Z W N 0 a W 9 u M S 9 E V V B M S U N B R E 9 T L 0 9 y a W d l b i 5 7 T U F U U k l a L D N 9 J n F 1 b 3 Q 7 L C Z x d W 9 0 O 1 N l Y 3 R p b 2 4 x L 0 R V U E x J Q 0 F E T 1 M v T 3 J p Z 2 V u L n t Q c m 9 0 Z W l u Y S A o J S k s M T J 9 J n F 1 b 3 Q 7 L C Z x d W 9 0 O 1 N l Y 3 R p b 2 4 x L 0 R V U E x J Q 0 F E T 1 M v T 3 J p Z 2 V u L n t B T k F M S V N U Q S w x M 3 0 m c X V v d D s s J n F 1 b 3 Q 7 U 2 V j d G l v b j E v R F V Q T E l D Q U R P U y 9 P c m l n Z W 4 u e 0 V T V E F E T y B E R U w g U k V T V U x U Q U R P L D E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T U F U U k l a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V U E x J Q 0 F E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h v a m E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g 5 M j Y x M 2 Z m L T d k Z T A t N D c 1 Y i 1 i Z m Y w L T F h O W V l Y m Y 2 M m F l O C I g L z 4 8 R W 5 0 c n k g V H l w Z T 0 i R m l s b E x h c 3 R V c G R h d G V k I i B W Y W x 1 Z T 0 i Z D I w M T k t M D k t M j R U M T g 6 M z E 6 N T k u M D g y N j Q z M F o i I C 8 + P E V u d H J 5 I F R 5 c G U 9 I k Z p b G x D b 2 x 1 b W 5 U e X B l c y I g V m F s d W U 9 I n N B Q U F B Q U F B Q U F B Q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J R C B N V U V T V F J B J n F 1 b 3 Q 7 L C Z x d W 9 0 O 0 1 B V F J J W i Z x d W 9 0 O y w m c X V v d D t O a X R y w 7 N n Z W 5 v I C h n L z E w M G c p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R V N U U k F T L 0 9 y a W d l b i 5 7 R k V D S E E g R E U g Q U 5 B T E l T S V M s M H 0 m c X V v d D s s J n F 1 b 3 Q 7 U 2 V j d G l v b j E v T V V F U 1 R S Q V M v T 3 J p Z 2 V u L n t U S V B P I E R F I E 1 V R V N U U k E s M X 0 m c X V v d D s s J n F 1 b 3 Q 7 U 2 V j d G l v b j E v T V V F U 1 R S Q V M v T 3 J p Z 2 V u L n t J R C B N V U V T V F J B L D J 9 J n F 1 b 3 Q 7 L C Z x d W 9 0 O 1 N l Y 3 R p b 2 4 x L 0 1 V R V N U U k F T L 0 9 y a W d l b i 5 7 T U F U U k l a L D N 9 J n F 1 b 3 Q 7 L C Z x d W 9 0 O 1 N l Y 3 R p b 2 4 x L 0 1 V R V N U U k F T L 0 9 y a W d l b i 5 7 T m l 0 c s O z Z 2 V u b y A o Z y 8 x M D B n K S w 5 f S Z x d W 9 0 O y w m c X V v d D t T Z W N 0 a W 9 u M S 9 N V U V T V F J B U y 9 P c m l n Z W 4 u e 1 B y b 3 R l a W 5 h I C g l K S w x M n 0 m c X V v d D s s J n F 1 b 3 Q 7 U 2 V j d G l v b j E v T V V F U 1 R S Q V M v T 3 J p Z 2 V u L n t B T k F M S V N U Q S w x M 3 0 m c X V v d D s s J n F 1 b 3 Q 7 U 2 V j d G l v b j E v T V V F U 1 R S Q V M v T 3 J p Z 2 V u L n t F U 1 R B R E 8 g R E V M I F J F U 1 V M V E F E T y w x N H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V V F U 1 R S Q V M v T 3 J p Z 2 V u L n t G R U N I Q S B E R S B B T k F M S V N J U y w w f S Z x d W 9 0 O y w m c X V v d D t T Z W N 0 a W 9 u M S 9 N V U V T V F J B U y 9 P c m l n Z W 4 u e 1 R J U E 8 g R E U g T V V F U 1 R S Q S w x f S Z x d W 9 0 O y w m c X V v d D t T Z W N 0 a W 9 u M S 9 N V U V T V F J B U y 9 P c m l n Z W 4 u e 0 l E I E 1 V R V N U U k E s M n 0 m c X V v d D s s J n F 1 b 3 Q 7 U 2 V j d G l v b j E v T V V F U 1 R S Q V M v T 3 J p Z 2 V u L n t N Q V R S S V o s M 3 0 m c X V v d D s s J n F 1 b 3 Q 7 U 2 V j d G l v b j E v T V V F U 1 R S Q V M v T 3 J p Z 2 V u L n t O a X R y w 7 N n Z W 5 v I C h n L z E w M G c p L D l 9 J n F 1 b 3 Q 7 L C Z x d W 9 0 O 1 N l Y 3 R p b 2 4 x L 0 1 V R V N U U k F T L 0 9 y a W d l b i 5 7 U H J v d G V p b m E g K C U p L D E y f S Z x d W 9 0 O y w m c X V v d D t T Z W N 0 a W 9 u M S 9 N V U V T V F J B U y 9 P c m l n Z W 4 u e 0 F O Q U x J U 1 R B L D E z f S Z x d W 9 0 O y w m c X V v d D t T Z W N 0 a W 9 u M S 9 N V U V T V F J B U y 9 P c m l n Z W 4 u e 0 V T V E F E T y B E R U w g U k V T V U x U Q U R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k V D V V B F U k F D S U 9 O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N V U 1 R B T k N J Q S Z x d W 9 0 O y w m c X V v d D s l T i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G a W x s Q 2 9 s d W 1 u V H l w Z X M i I F Z h b H V l P S J z Q m d V R k J R T U Z C U T 0 9 I i A v P j x F b n R y e S B U e X B l P S J G a W x s T G F z d F V w Z G F 0 Z W Q i I F Z h b H V l P S J k M j A x O S 0 w O S 0 y N F Q x O T o z O D o w O C 4 0 N j g x M j A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U l U R V M g U k V D V V B F U k F D S U 9 O L 1 R p c G 8 g Y 2 F t Y m l h Z G 8 u e 1 N V U 1 R B T k N J Q S w w f S Z x d W 9 0 O y w m c X V v d D t T Z W N 0 a W 9 u M S 9 M S U 1 J V E V T I F J F Q 1 V Q R V J B Q 0 l P T i 9 U a X B v I G N h b W J p Y W R v L n s l T i w x f S Z x d W 9 0 O y w m c X V v d D t T Z W N 0 a W 9 u M S 9 M S U 1 J V E V T I F J F Q 1 V Q R V J B Q 0 l P T i 9 U a X B v I G N h b W J p Y W R v L n t M Q 0 k s M n 0 m c X V v d D s s J n F 1 b 3 Q 7 U 2 V j d G l v b j E v T E l N S V R F U y B S R U N V U E V S Q U N J T 0 4 v V G l w b y B j Y W 1 i a W F k b y 5 7 T E F J L D N 9 J n F 1 b 3 Q 7 L C Z x d W 9 0 O 1 N l Y 3 R p b 2 4 x L 0 x J T U l U R V M g U k V D V V B F U k F D S U 9 O L 1 R p c G 8 g Y 2 F t Y m l h Z G 8 u e 1 B S T 0 1 F R E l P L D R 9 J n F 1 b 3 Q 7 L C Z x d W 9 0 O 1 N l Y 3 R p b 2 4 x L 0 x J T U l U R V M g U k V D V V B F U k F D S U 9 O L 1 R p c G 8 g Y 2 F t Y m l h Z G 8 u e 0 x B U y w 1 f S Z x d W 9 0 O y w m c X V v d D t T Z W N 0 a W 9 u M S 9 M S U 1 J V E V T I F J F Q 1 V Q R V J B Q 0 l P T i 9 U a X B v I G N h b W J p Y W R v L n t M Q 1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E l N S V R F U y B S R U N V U E V S Q U N J T 0 4 v V G l w b y B j Y W 1 i a W F k b y 5 7 U 1 V T V E F O Q 0 l B L D B 9 J n F 1 b 3 Q 7 L C Z x d W 9 0 O 1 N l Y 3 R p b 2 4 x L 0 x J T U l U R V M g U k V D V V B F U k F D S U 9 O L 1 R p c G 8 g Y 2 F t Y m l h Z G 8 u e y V O L D F 9 J n F 1 b 3 Q 7 L C Z x d W 9 0 O 1 N l Y 3 R p b 2 4 x L 0 x J T U l U R V M g U k V D V V B F U k F D S U 9 O L 1 R p c G 8 g Y 2 F t Y m l h Z G 8 u e 0 x D S S w y f S Z x d W 9 0 O y w m c X V v d D t T Z W N 0 a W 9 u M S 9 M S U 1 J V E V T I F J F Q 1 V Q R V J B Q 0 l P T i 9 U a X B v I G N h b W J p Y W R v L n t M Q U k s M 3 0 m c X V v d D s s J n F 1 b 3 Q 7 U 2 V j d G l v b j E v T E l N S V R F U y B S R U N V U E V S Q U N J T 0 4 v V G l w b y B j Y W 1 i a W F k b y 5 7 U F J P T U V E S U 8 s N H 0 m c X V v d D s s J n F 1 b 3 Q 7 U 2 V j d G l v b j E v T E l N S V R F U y B S R U N V U E V S Q U N J T 0 4 v V G l w b y B j Y W 1 i a W F k b y 5 7 T E F T L D V 9 J n F 1 b 3 Q 7 L C Z x d W 9 0 O 1 N l Y 3 R p b 2 4 x L 0 x J T U l U R V M g U k V D V V B F U k F D S U 9 O L 1 R p c G 8 g Y 2 F t Y m l h Z G 8 u e 0 x D U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E l N S V R F U y U y M F J F Q 1 V Q R V J B Q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V U F E U k 8 l M j B N Q U 5 E T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E N v b H V t b l R 5 c G V z I i B W Y W x 1 Z T 0 i c 0 J 3 W U d C Z 1 V G Q l F V R k J R V U F C U U F H I i A v P j x F b n R y e S B U e X B l P S J G a W x s T G F z d F V w Z G F 0 Z W Q i I F Z h b H V l P S J k M j A x O S 0 w O S 0 y N F Q x O D o z M z o w O S 4 1 O D E z M j M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R k V D S E E g R E U g Q U 5 B T E l T S V M m c X V v d D s s J n F 1 b 3 Q 7 V E l Q T y B E R S B N V U V T V F J B J n F 1 b 3 Q 7 L C Z x d W 9 0 O 0 l E I E 1 V R V N U U k E m c X V v d D s s J n F 1 b 3 Q 7 T U F U U k l a J n F 1 b 3 Q 7 L C Z x d W 9 0 O 1 B l c 2 8 g b X V l c 3 R y Y S A o Z y k m c X V v d D s s J n F 1 b 3 Q 7 U G V z b y B t d W V z d H J h I E N v c n J l Z 2 l k b y A o Z y k m c X V v d D s s J n F 1 b 3 Q 7 V m 9 s L i B I Q 2 w g K G 1 s K S Z x d W 9 0 O y w m c X V v d D t W b 2 w u I E h D b C B j b 3 J y Z W d p Z G 8 g K G 1 s K S Z x d W 9 0 O y w m c X V v d D t D b 2 5 j Z W 5 0 c m F j a c O z b i B I Q 2 w g K E 4 p J n F 1 b 3 Q 7 L C Z x d W 9 0 O 0 5 p d H L D s 2 d l b m 8 g K G c v M T A w Z y k m c X V v d D s s J n F 1 b 3 Q 7 R m F j d G 9 y I G R l I G N v b n Z l c n N p w 7 N u J n F 1 b 3 Q 7 L C Z x d W 9 0 O 0 h 1 b W V k Y W Q l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V U F E U k 8 g T U F O R E 8 v V G l w b y B j Y W 1 i a W F k b y 5 7 R k V D S E E g R E U g Q U 5 B T E l T S V M s M H 0 m c X V v d D s s J n F 1 b 3 Q 7 U 2 V j d G l v b j E v Q 1 V B R F J P I E 1 B T k R P L 1 R p c G 8 g Y 2 F t Y m l h Z G 8 u e 1 R J U E 8 g R E U g T V V F U 1 R S Q S w x f S Z x d W 9 0 O y w m c X V v d D t T Z W N 0 a W 9 u M S 9 D V U F E U k 8 g T U F O R E 8 v V G l w b y B j Y W 1 i a W F k b y 5 7 S U Q g T V V F U 1 R S Q S w y f S Z x d W 9 0 O y w m c X V v d D t T Z W N 0 a W 9 u M S 9 D V U F E U k 8 g T U F O R E 8 v V G l w b y B j Y W 1 i a W F k b y 5 7 T U F U U k l a L D N 9 J n F 1 b 3 Q 7 L C Z x d W 9 0 O 1 N l Y 3 R p b 2 4 x L 0 N V Q U R S T y B N Q U 5 E T y 9 U a X B v I G N h b W J p Y W R v L n t Q Z X N v I G 1 1 Z X N 0 c m E g K G c p L D R 9 J n F 1 b 3 Q 7 L C Z x d W 9 0 O 1 N l Y 3 R p b 2 4 x L 0 N V Q U R S T y B N Q U 5 E T y 9 U a X B v I G N h b W J p Y W R v L n t Q Z X N v I G 1 1 Z X N 0 c m E g Q 2 9 y c m V n a W R v I C h n K S w 1 f S Z x d W 9 0 O y w m c X V v d D t T Z W N 0 a W 9 u M S 9 D V U F E U k 8 g T U F O R E 8 v V G l w b y B j Y W 1 i a W F k b y 5 7 V m 9 s L i B I Q 2 w g K G 1 s K S w 2 f S Z x d W 9 0 O y w m c X V v d D t T Z W N 0 a W 9 u M S 9 D V U F E U k 8 g T U F O R E 8 v V G l w b y B j Y W 1 i a W F k b y 5 7 V m 9 s L i B I Q 2 w g Y 2 9 y c m V n a W R v I C h t b C k s N 3 0 m c X V v d D s s J n F 1 b 3 Q 7 U 2 V j d G l v b j E v Q 1 V B R F J P I E 1 B T k R P L 1 R p c G 8 g Y 2 F t Y m l h Z G 8 u e 0 N v b m N l b n R y Y W N p w 7 N u I E h D b C A o T i k s O H 0 m c X V v d D s s J n F 1 b 3 Q 7 U 2 V j d G l v b j E v Q 1 V B R F J P I E 1 B T k R P L 1 R p c G 8 g Y 2 F t Y m l h Z G 8 u e 0 5 p d H L D s 2 d l b m 8 g K G c v M T A w Z y k s O X 0 m c X V v d D s s J n F 1 b 3 Q 7 U 2 V j d G l v b j E v Q 1 V B R F J P I E 1 B T k R P L 1 R p c G 8 g Y 2 F t Y m l h Z G 8 u e 0 Z h Y 3 R v c i B k Z S B j b 2 5 2 Z X J z a c O z b i w x M H 0 m c X V v d D s s J n F 1 b 3 Q 7 U 2 V j d G l v b j E v Q 1 V B R F J P I E 1 B T k R P L 1 R p c G 8 g Y 2 F t Y m l h Z G 8 u e 0 h 1 b W V k Y W Q l L D E x f S Z x d W 9 0 O y w m c X V v d D t T Z W N 0 a W 9 u M S 9 D V U F E U k 8 g T U F O R E 8 v V G l w b y B j Y W 1 i a W F k b y 5 7 U H J v d G V p b m E g K C U p L D E y f S Z x d W 9 0 O y w m c X V v d D t T Z W N 0 a W 9 u M S 9 D V U F E U k 8 g T U F O R E 8 v V G l w b y B j Y W 1 i a W F k b y 5 7 Q U 5 B T E l T V E E s M T N 9 J n F 1 b 3 Q 7 L C Z x d W 9 0 O 1 N l Y 3 R p b 2 4 x L 0 N V Q U R S T y B N Q U 5 E T y 9 U a X B v I G N h b W J p Y W R v L n t F U 1 R B R E 8 g R E V M I F J F U 1 V M V E F E T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N V Q U R S T y B N Q U 5 E T y 9 U a X B v I G N h b W J p Y W R v L n t G R U N I Q S B E R S B B T k F M S V N J U y w w f S Z x d W 9 0 O y w m c X V v d D t T Z W N 0 a W 9 u M S 9 D V U F E U k 8 g T U F O R E 8 v V G l w b y B j Y W 1 i a W F k b y 5 7 V E l Q T y B E R S B N V U V T V F J B L D F 9 J n F 1 b 3 Q 7 L C Z x d W 9 0 O 1 N l Y 3 R p b 2 4 x L 0 N V Q U R S T y B N Q U 5 E T y 9 U a X B v I G N h b W J p Y W R v L n t J R C B N V U V T V F J B L D J 9 J n F 1 b 3 Q 7 L C Z x d W 9 0 O 1 N l Y 3 R p b 2 4 x L 0 N V Q U R S T y B N Q U 5 E T y 9 U a X B v I G N h b W J p Y W R v L n t N Q V R S S V o s M 3 0 m c X V v d D s s J n F 1 b 3 Q 7 U 2 V j d G l v b j E v Q 1 V B R F J P I E 1 B T k R P L 1 R p c G 8 g Y 2 F t Y m l h Z G 8 u e 1 B l c 2 8 g b X V l c 3 R y Y S A o Z y k s N H 0 m c X V v d D s s J n F 1 b 3 Q 7 U 2 V j d G l v b j E v Q 1 V B R F J P I E 1 B T k R P L 1 R p c G 8 g Y 2 F t Y m l h Z G 8 u e 1 B l c 2 8 g b X V l c 3 R y Y S B D b 3 J y Z W d p Z G 8 g K G c p L D V 9 J n F 1 b 3 Q 7 L C Z x d W 9 0 O 1 N l Y 3 R p b 2 4 x L 0 N V Q U R S T y B N Q U 5 E T y 9 U a X B v I G N h b W J p Y W R v L n t W b 2 w u I E h D b C A o b W w p L D Z 9 J n F 1 b 3 Q 7 L C Z x d W 9 0 O 1 N l Y 3 R p b 2 4 x L 0 N V Q U R S T y B N Q U 5 E T y 9 U a X B v I G N h b W J p Y W R v L n t W b 2 w u I E h D b C B j b 3 J y Z W d p Z G 8 g K G 1 s K S w 3 f S Z x d W 9 0 O y w m c X V v d D t T Z W N 0 a W 9 u M S 9 D V U F E U k 8 g T U F O R E 8 v V G l w b y B j Y W 1 i a W F k b y 5 7 Q 2 9 u Y 2 V u d H J h Y 2 n D s 2 4 g S E N s I C h O K S w 4 f S Z x d W 9 0 O y w m c X V v d D t T Z W N 0 a W 9 u M S 9 D V U F E U k 8 g T U F O R E 8 v V G l w b y B j Y W 1 i a W F k b y 5 7 T m l 0 c s O z Z 2 V u b y A o Z y 8 x M D B n K S w 5 f S Z x d W 9 0 O y w m c X V v d D t T Z W N 0 a W 9 u M S 9 D V U F E U k 8 g T U F O R E 8 v V G l w b y B j Y W 1 i a W F k b y 5 7 R m F j d G 9 y I G R l I G N v b n Z l c n N p w 7 N u L D E w f S Z x d W 9 0 O y w m c X V v d D t T Z W N 0 a W 9 u M S 9 D V U F E U k 8 g T U F O R E 8 v V G l w b y B j Y W 1 i a W F k b y 5 7 S H V t Z W R h Z C U s M T F 9 J n F 1 b 3 Q 7 L C Z x d W 9 0 O 1 N l Y 3 R p b 2 4 x L 0 N V Q U R S T y B N Q U 5 E T y 9 U a X B v I G N h b W J p Y W R v L n t Q c m 9 0 Z W l u Y S A o J S k s M T J 9 J n F 1 b 3 Q 7 L C Z x d W 9 0 O 1 N l Y 3 R p b 2 4 x L 0 N V Q U R S T y B N Q U 5 E T y 9 U a X B v I G N h b W J p Y W R v L n t B T k F M S V N U Q S w x M 3 0 m c X V v d D s s J n F 1 b 3 Q 7 U 2 V j d G l v b j E v Q 1 V B R F J P I E 1 B T k R P L 1 R p c G 8 g Y 2 F t Y m l h Z G 8 u e 0 V T V E F E T y B E R U w g U k V T V U x U Q U R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1 V B R F J P J T I w T U F O R E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V B R F J P J T I w T U F O R E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F J F Q 0 l T S U 9 O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Q 2 9 s d W 1 u V H l w Z X M i I F Z h b H V l P S J z Q m d V R k F B P T 0 i I C 8 + P E V u d H J 5 I F R 5 c G U 9 I k Z p b G x M Y X N 0 V X B k Y X R l Z C I g V m F s d W U 9 I m Q y M D E 5 L T A 5 L T I 0 V D E 4 O j U 5 O j A x L j U 3 N T Q 4 O D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4 Y W E y M T Y 3 N i 0 z N T R m L T R k Y T A t O D g 5 Z i 0 1 Y T c x M 2 U 3 O T A y Y T g i I C 8 + P E V u d H J 5 I F R 5 c G U 9 I k Z p b G x D b 2 x 1 b W 5 O Y W 1 l c y I g V m F s d W U 9 I n N b J n F 1 b 3 Q 7 T U F U U k l a J n F 1 b 3 Q 7 L C Z x d W 9 0 O 0 x D J n F 1 b 3 Q 7 L C Z x d W 9 0 O 0 x B J n F 1 b 3 Q 7 L C Z x d W 9 0 O 1 J Q R C U g T U V E S U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F B S R U N J U 0 l P T i 9 U a X B v I G N h b W J p Y W R v L n t N Q V R S S V o s M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S U 1 J V E V T I F B S R U N J U 0 l P T i 9 U a X B v I G N h b W J p Y W R v L n t N Q V R S S V o s M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E l N S V R F U y U y M F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1 B S R U N J U 0 l P T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V U V T V F J B U y 9 P c m l n Z W 4 u e 0 l E I E 1 V R V N U U k E s M H 0 m c X V v d D s s J n F 1 b 3 Q 7 U 2 V j d G l v b j E v T V V F U 1 R S Q V M v T 3 J p Z 2 V u L n t G R U N I Q S B E R S B B T k F M S V N J U y w x f S Z x d W 9 0 O y w m c X V v d D t T Z W N 0 a W 9 u M S 9 N V U V T V F J B U y 9 P c m l n Z W 4 u e 1 R J U E 8 g R E U g T V V F U 1 R S Q S w y f S Z x d W 9 0 O y w m c X V v d D t T Z W N 0 a W 9 u M S 9 N V U V T V F J B U y 9 P c m l n Z W 4 u e 0 F M Q 0 F M S U 5 J R E F E I F R P V E F M X G 5 t Z y B D Y U N P M y 9 s L D E z f S Z x d W 9 0 O y w m c X V v d D t T Z W N 0 a W 9 u M S 9 N V U V T V F J B U y 9 P c m l n Z W 4 u e 0 V T V E F E T y B E R U w g U k V T V U x U Q U R P L D E 2 f S Z x d W 9 0 O y w m c X V v d D t T Z W N 0 a W 9 u M S 9 E V V B M S U N B R E 9 T L 0 9 y a W d l b i 5 7 Q U x D Q U x J T k l E Q U Q g V E 9 U Q U x c b m 1 n I E N h Q 0 8 z L 2 w s M T N 9 J n F 1 b 3 Q 7 L C Z x d W 9 0 O 1 N l Y 3 R p b 2 4 x L 1 B S R U N J U 0 l P T i 9 U a X B v I G N h b W J p Y W R v L n s o U G V y c 2 9 u Y W x p e m F k b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N V U V T V F J B U y 9 P c m l n Z W 4 u e 0 l E I E 1 V R V N U U k E s M H 0 m c X V v d D s s J n F 1 b 3 Q 7 U 2 V j d G l v b j E v T V V F U 1 R S Q V M v T 3 J p Z 2 V u L n t G R U N I Q S B E R S B B T k F M S V N J U y w x f S Z x d W 9 0 O y w m c X V v d D t T Z W N 0 a W 9 u M S 9 N V U V T V F J B U y 9 P c m l n Z W 4 u e 1 R J U E 8 g R E U g T V V F U 1 R S Q S w y f S Z x d W 9 0 O y w m c X V v d D t T Z W N 0 a W 9 u M S 9 N V U V T V F J B U y 9 P c m l n Z W 4 u e 0 F M Q 0 F M S U 5 J R E F E I F R P V E F M X G 5 t Z y B D Y U N P M y 9 s L D E z f S Z x d W 9 0 O y w m c X V v d D t T Z W N 0 a W 9 u M S 9 N V U V T V F J B U y 9 P c m l n Z W 4 u e 0 V T V E F E T y B E R U w g U k V T V U x U Q U R P L D E 2 f S Z x d W 9 0 O y w m c X V v d D t T Z W N 0 a W 9 u M S 9 E V V B M S U N B R E 9 T L 0 9 y a W d l b i 5 7 Q U x D Q U x J T k l E Q U Q g V E 9 U Q U x c b m 1 n I E N h Q 0 8 z L 2 w s M T N 9 J n F 1 b 3 Q 7 L C Z x d W 9 0 O 1 N l Y 3 R p b 2 4 x L 1 B S R U N J U 0 l P T i 9 U a X B v I G N h b W J p Y W R v L n s o U G V y c 2 9 u Y W x p e m F k b y w 2 f S Z x d W 9 0 O 1 0 s J n F 1 b 3 Q 7 U m V s Y X R p b 2 5 z a G l w S W 5 m b y Z x d W 9 0 O z p b X X 0 i I C 8 + P E V u d H J 5 I F R 5 c G U 9 I k Z p b G x D b 2 x 1 b W 5 U e X B l c y I g V m F s d W U 9 I n N B Q U F B Q U F B Q U J B P T 0 i I C 8 + P E V u d H J 5 I F R 5 c G U 9 I k Z p b G x M Y X N 0 V X B k Y X R l Z C I g V m F s d W U 9 I m Q y M D E 5 L T A 5 L T I 0 V D E 5 O j A x O j E 1 L j M y M j k 0 N T l a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x I i A v P j x F b n R y e S B U e X B l P S J R d W V y e U l E I i B W Y W x 1 Z T 0 i c 2 R j N D M 0 Y z Q 4 L T F i N j M t N D V k M y 1 h Z j U 1 L W M w Z G N h Y z I x N z g 1 O C I g L z 4 8 R W 5 0 c n k g V H l w Z T 0 i R m l s b F N 0 Y X R 1 c y I g V m F s d W U 9 I n N D b 2 1 w b G V 0 Z S I g L z 4 8 R W 5 0 c n k g V H l w Z T 0 i R m l s b E N v b H V t b k 5 h b W V z I i B W Y W x 1 Z T 0 i c 1 s m c X V v d D t J R C B N V U V T V F J B J n F 1 b 3 Q 7 L C Z x d W 9 0 O 0 Z F Q 0 h B I E R F I E F O Q U x J U 0 l T J n F 1 b 3 Q 7 L C Z x d W 9 0 O 1 R J U E 8 g R E U g T V V F U 1 R S Q S Z x d W 9 0 O y w m c X V v d D t B T E N B T E l O S U R B R C B U T 1 R B T F x u b W c g Q 2 F D T z M v b C Z x d W 9 0 O y w m c X V v d D t F U 1 R B R E 8 g R E V M I F J F U 1 V M V E F E T y Z x d W 9 0 O y w m c X V v d D t E V V B M S U N B R E 9 T L k F M Q 0 F M S U 5 J R E F E I F R P V E F M X G 5 t Z y B D Y U N P M y 9 s J n F 1 b 3 Q 7 L C Z x d W 9 0 O 1 J Q R C U m c X V v d D t d I i A v P j x F b n R y e S B U e X B l P S J G a W x s R X J y b 3 J D b 2 R l I i B W Y W x 1 Z T 0 i c 1 V u a 2 5 v d 2 4 i I C 8 + P C 9 T d G F i b G V F b n R y a W V z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k V D V V B F U k F D S U 9 O I i A v P j x F b n R y e S B U e X B l P S J G a W x s Z W R D b 2 1 w b G V 0 Z V J l c 3 V s d F R v V 2 9 y a 3 N o Z W V 0 I i B W Y W x 1 Z T 0 i b D E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0 V D I w O j I 1 O j U 4 L j A w M D E y O D V a I i A v P j x F b n R y e S B U e X B l P S J G a W x s Q 2 9 s d W 1 u V H l w Z X M i I F Z h b H V l P S J z Q U F B R k J R V U Z C U V U 9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M S U 1 J V E V T I F J F Q 1 V Q R V J B Q 0 l P T i 9 P c m l n Z W 4 u e 0 N P T l R S T 0 w s M H 0 m c X V v d D s s J n F 1 b 3 Q 7 S 2 V 5 Q 2 9 s d W 1 u Q 2 9 1 b n Q m c X V v d D s 6 M X 1 d L C Z x d W 9 0 O 2 N v b H V t b k l k Z W 5 0 a X R p Z X M m c X V v d D s 6 W y Z x d W 9 0 O 1 N l Y 3 R p b 2 4 x L 1 J F Q 1 V Q R V J B Q 0 l P T i 9 P c m l n Z W 4 u e 0 l E I E 1 V R V N U U k E s M H 0 m c X V v d D s s J n F 1 b 3 Q 7 U 2 V j d G l v b j E v U k V D V V B F U k F D S U 9 O L 0 9 y a W d l b i 5 7 R k V D S E E g R E U g Q U 5 B T E l T S V M s M X 0 m c X V v d D s s J n F 1 b 3 Q 7 U 2 V j d G l v b j E v U k V D V V B F U k F D S U 9 O L 1 R p c G 8 g Y 2 F t Y m l h Z G 8 u e 1 I l L D l 9 J n F 1 b 3 Q 7 L C Z x d W 9 0 O 1 N l Y 3 R p b 2 4 x L 1 J F Q 1 V Q R V J B Q 0 l P T i 9 U a X B v I G N h b W J p Y W R v M S 5 7 T E l N S V R F U y B S R U N V U E V S Q U N J T 0 4 u T E N J L D N 9 J n F 1 b 3 Q 7 L C Z x d W 9 0 O 1 N l Y 3 R p b 2 4 x L 1 J F Q 1 V Q R V J B Q 0 l P T i 9 U a X B v I G N h b W J p Y W R v M S 5 7 T E l N S V R F U y B S R U N V U E V S Q U N J T 0 4 u T E F J L D R 9 J n F 1 b 3 Q 7 L C Z x d W 9 0 O 1 N l Y 3 R p b 2 4 x L 1 J F Q 1 V Q R V J B Q 0 l P T i 9 U a X B v I G N h b W J p Y W R v M S 5 7 T E l N S V R F U y B S R U N V U E V S Q U N J T 0 4 u U F J P T U V E S U 8 s N X 0 m c X V v d D s s J n F 1 b 3 Q 7 U 2 V j d G l v b j E v U k V D V V B F U k F D S U 9 O L 1 R p c G 8 g Y 2 F t Y m l h Z G 8 x L n t M S U 1 J V E V T I F J F Q 1 V Q R V J B Q 0 l P T i 5 M Q V M s N n 0 m c X V v d D s s J n F 1 b 3 Q 7 U 2 V j d G l v b j E v U k V D V V B F U k F D S U 9 O L 1 R p c G 8 g Y 2 F t Y m l h Z G 8 x L n t M S U 1 J V E V T I F J F Q 1 V Q R V J B Q 0 l P T i 5 M Q 1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k V D V V B F U k F D S U 9 O L 0 9 y a W d l b i 5 7 S U Q g T V V F U 1 R S Q S w w f S Z x d W 9 0 O y w m c X V v d D t T Z W N 0 a W 9 u M S 9 S R U N V U E V S Q U N J T 0 4 v T 3 J p Z 2 V u L n t G R U N I Q S B E R S B B T k F M S V N J U y w x f S Z x d W 9 0 O y w m c X V v d D t T Z W N 0 a W 9 u M S 9 S R U N V U E V S Q U N J T 0 4 v V G l w b y B j Y W 1 i a W F k b y 5 7 U i U s O X 0 m c X V v d D s s J n F 1 b 3 Q 7 U 2 V j d G l v b j E v U k V D V V B F U k F D S U 9 O L 1 R p c G 8 g Y 2 F t Y m l h Z G 8 x L n t M S U 1 J V E V T I F J F Q 1 V Q R V J B Q 0 l P T i 5 M Q 0 k s M 3 0 m c X V v d D s s J n F 1 b 3 Q 7 U 2 V j d G l v b j E v U k V D V V B F U k F D S U 9 O L 1 R p c G 8 g Y 2 F t Y m l h Z G 8 x L n t M S U 1 J V E V T I F J F Q 1 V Q R V J B Q 0 l P T i 5 M Q U k s N H 0 m c X V v d D s s J n F 1 b 3 Q 7 U 2 V j d G l v b j E v U k V D V V B F U k F D S U 9 O L 1 R p c G 8 g Y 2 F t Y m l h Z G 8 x L n t M S U 1 J V E V T I F J F Q 1 V Q R V J B Q 0 l P T i 5 Q U k 9 N R U R J T y w 1 f S Z x d W 9 0 O y w m c X V v d D t T Z W N 0 a W 9 u M S 9 S R U N V U E V S Q U N J T 0 4 v V G l w b y B j Y W 1 i a W F k b z E u e 0 x J T U l U R V M g U k V D V V B F U k F D S U 9 O L k x B U y w 2 f S Z x d W 9 0 O y w m c X V v d D t T Z W N 0 a W 9 u M S 9 S R U N V U E V S Q U N J T 0 4 v V G l w b y B j Y W 1 i a W F k b z E u e 0 x J T U l U R V M g U k V D V V B F U k F D S U 9 O L k x D U y w 3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M S U 1 J V E V T I F J F Q 1 V Q R V J B Q 0 l P T i 9 P c m l n Z W 4 u e 0 N P T l R S T 0 w s M H 0 m c X V v d D s s J n F 1 b 3 Q 7 S 2 V 5 Q 2 9 s d W 1 u Q 2 9 1 b n Q m c X V v d D s 6 M X 1 d f S I g L z 4 8 R W 5 0 c n k g V H l w Z T 0 i R m l s b F N 0 Y X R 1 c y I g V m F s d W U 9 I n N D b 2 1 w b G V 0 Z S I g L z 4 8 R W 5 0 c n k g V H l w Z T 0 i U X V l c n l J R C I g V m F s d W U 9 I n N h Y m Q w O D h h M i 0 2 Y 2 I 5 L T Q 5 Z G U t Y m U 3 Y i 1 i N j U 5 M m U z M W Y 2 M 2 Q i I C 8 + P E V u d H J 5 I F R 5 c G U 9 I k Z p b G x D b 2 x 1 b W 5 O Y W 1 l c y I g V m F s d W U 9 I n N b J n F 1 b 3 Q 7 S U Q g T V V F U 1 R S Q S Z x d W 9 0 O y w m c X V v d D t G R U N I Q S B E R S B B T k F M S V N J U y Z x d W 9 0 O y w m c X V v d D t S J S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k V D V V B F U k F D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R F V Q T E l D Q U R P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m F s b 3 I l M j B h Y n N v b H V 0 b y U y M G N h b G N 1 b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U 2 U l M j B l e H B h b m R p J U M z J U I z J T I w T E l N S V R F U y U y M F J F Q 1 V Q R V J B Q 0 l P T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q 8 L 8 m E J j p N n n K B 7 b o Z B U s A A A A A A g A A A A A A A 2 Y A A M A A A A A Q A A A A / e d D 2 c E R e N a A V h F P 1 4 l M T A A A A A A E g A A A o A A A A B A A A A D D K F q v P H 1 V b U 8 K R J B U 2 f R T U A A A A F 1 u u Q T k T z j D J C r / Y r 7 D J z u Y H v V b 2 S 8 S w V i z i y z d w 0 l 3 R 7 V l U 9 n J k Z f t C e 7 1 T E l q U Q r a L w J 1 t l L l r v u 6 2 T 8 U 4 j 9 i v / / x W o n y T o 0 K / f 7 D g R 8 p F A A A A I 4 e n 0 S F 9 5 e 8 8 p r 8 E K O z H + o h o Q 1 U < / D a t a M a s h u p > 
</file>

<file path=customXml/itemProps1.xml><?xml version="1.0" encoding="utf-8"?>
<ds:datastoreItem xmlns:ds="http://schemas.openxmlformats.org/officeDocument/2006/customXml" ds:itemID="{AC6104D2-17E0-4E80-8C57-836A1591E1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control</vt:lpstr>
      <vt:lpstr>Cuadro de mando</vt:lpstr>
      <vt:lpstr>Preparacion controles</vt:lpstr>
      <vt:lpstr>Límites Gráficos</vt:lpstr>
      <vt:lpstr>Tipos de Muestra</vt:lpstr>
      <vt:lpstr>R%</vt:lpstr>
      <vt:lpstr>Precision</vt:lpstr>
      <vt:lpstr>Fuentes globales</vt:lpstr>
      <vt:lpstr>Gráfico R%</vt:lpstr>
      <vt:lpstr>Gráfico Precision</vt:lpstr>
      <vt:lpstr>SUSTANCIA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2019-10-07T21:13:05Z</dcterms:modified>
</cp:coreProperties>
</file>